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690" windowHeight="6285" activeTab="0"/>
  </bookViews>
  <sheets>
    <sheet name="CC-4000" sheetId="1" r:id="rId1"/>
    <sheet name="Variablen" sheetId="2" state="hidden" r:id="rId2"/>
  </sheets>
  <definedNames/>
  <calcPr fullCalcOnLoad="1"/>
</workbook>
</file>

<file path=xl/sharedStrings.xml><?xml version="1.0" encoding="utf-8"?>
<sst xmlns="http://schemas.openxmlformats.org/spreadsheetml/2006/main" count="136" uniqueCount="41">
  <si>
    <t>kg</t>
  </si>
  <si>
    <t>X</t>
  </si>
  <si>
    <t>B</t>
  </si>
  <si>
    <t>H</t>
  </si>
  <si>
    <t>H = (n x HE) + 97    -    1 HE = 44,45</t>
  </si>
  <si>
    <t>HE =</t>
  </si>
  <si>
    <t>e x f = B - 111  x  H - 97</t>
  </si>
  <si>
    <t xml:space="preserve">b x h = B-61 x H-47          b x h = B-63 x H-47 </t>
  </si>
  <si>
    <t>A</t>
  </si>
  <si>
    <t>I *</t>
  </si>
  <si>
    <t>l</t>
  </si>
  <si>
    <t>u</t>
  </si>
  <si>
    <t>n</t>
  </si>
  <si>
    <t>lu</t>
  </si>
  <si>
    <t>ln</t>
  </si>
  <si>
    <t>L</t>
  </si>
  <si>
    <t>R</t>
  </si>
  <si>
    <t>n u</t>
  </si>
  <si>
    <t>(Standard)</t>
  </si>
  <si>
    <t>O</t>
  </si>
  <si>
    <t>U</t>
  </si>
  <si>
    <t>Standard</t>
  </si>
  <si>
    <t>x</t>
  </si>
  <si>
    <t>In diesem Tabellenblatt bitte keine Änderungen vornehmen!</t>
  </si>
  <si>
    <t>Frontplatte</t>
  </si>
  <si>
    <t>keine</t>
  </si>
  <si>
    <t>3 mm, von innen</t>
  </si>
  <si>
    <t>3 mm, von außen</t>
  </si>
  <si>
    <t>Rückwand</t>
  </si>
  <si>
    <t>3 mm, von außen verschraubt</t>
  </si>
  <si>
    <t>3 mm, schwenkbar</t>
  </si>
  <si>
    <t>Gehäusetiefe</t>
  </si>
  <si>
    <t>Trennsteg senkrecht</t>
  </si>
  <si>
    <t>Trennsteg waagerecht</t>
  </si>
  <si>
    <t>leitende Verbindung</t>
  </si>
  <si>
    <t>[Pv]</t>
  </si>
  <si>
    <t>[°C]</t>
  </si>
  <si>
    <t>[V]</t>
  </si>
  <si>
    <t>Bestellblatt CC-4000 Art. Nr.: 9057165000 (V6, 06/04 ner), Seite 1/2</t>
  </si>
  <si>
    <t>Bestellblatt CC-4000 Art. Nr.: 9057165000 (V6, 061/04 ner), Seite 2/2</t>
  </si>
  <si>
    <t>LOHMEIER Schaltschrank-Systeme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</si>
</sst>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;0;"/>
  </numFmts>
  <fonts count="19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Wingdings"/>
      <family val="0"/>
    </font>
    <font>
      <u val="single"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sz val="8.5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2" xfId="0" applyFont="1" applyFill="1" applyBorder="1" applyAlignment="1" applyProtection="1">
      <alignment vertical="top"/>
      <protection/>
    </xf>
    <xf numFmtId="0" fontId="0" fillId="0" borderId="2" xfId="0" applyFont="1" applyBorder="1" applyAlignment="1" applyProtection="1">
      <alignment/>
      <protection/>
    </xf>
    <xf numFmtId="49" fontId="0" fillId="0" borderId="2" xfId="0" applyNumberFormat="1" applyFont="1" applyBorder="1" applyAlignment="1" applyProtection="1">
      <alignment vertical="center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top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4" fillId="0" borderId="0" xfId="18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top"/>
    </xf>
    <xf numFmtId="0" fontId="0" fillId="0" borderId="11" xfId="0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9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  <xf numFmtId="49" fontId="8" fillId="2" borderId="9" xfId="0" applyNumberFormat="1" applyFont="1" applyFill="1" applyBorder="1" applyAlignment="1" applyProtection="1">
      <alignment/>
      <protection locked="0"/>
    </xf>
    <xf numFmtId="49" fontId="4" fillId="2" borderId="9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7" fillId="2" borderId="9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17" fillId="0" borderId="9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3" borderId="0" xfId="0" applyNumberFormat="1" applyFill="1" applyAlignment="1" applyProtection="1">
      <alignment vertical="center" wrapText="1"/>
      <protection locked="0"/>
    </xf>
    <xf numFmtId="0" fontId="0" fillId="3" borderId="9" xfId="0" applyNumberForma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4" fillId="0" borderId="1" xfId="0" applyNumberFormat="1" applyFont="1" applyBorder="1" applyAlignment="1" applyProtection="1">
      <alignment horizontal="center" vertical="center"/>
      <protection/>
    </xf>
    <xf numFmtId="180" fontId="4" fillId="0" borderId="2" xfId="0" applyNumberFormat="1" applyFont="1" applyBorder="1" applyAlignment="1" applyProtection="1">
      <alignment horizontal="center" vertical="center"/>
      <protection/>
    </xf>
    <xf numFmtId="180" fontId="4" fillId="0" borderId="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top"/>
    </xf>
    <xf numFmtId="0" fontId="0" fillId="0" borderId="4" xfId="0" applyFont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4" xfId="0" applyFont="1" applyBorder="1" applyAlignment="1">
      <alignment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0" fillId="3" borderId="2" xfId="0" applyNumberFormat="1" applyFill="1" applyBorder="1" applyAlignment="1" applyProtection="1">
      <alignment horizontal="center" vertical="center"/>
      <protection locked="0"/>
    </xf>
    <xf numFmtId="180" fontId="0" fillId="3" borderId="3" xfId="0" applyNumberForma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top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vertical="center" textRotation="90" shrinkToFit="1"/>
    </xf>
    <xf numFmtId="0" fontId="0" fillId="0" borderId="8" xfId="0" applyBorder="1" applyAlignment="1">
      <alignment shrinkToFit="1"/>
    </xf>
    <xf numFmtId="0" fontId="2" fillId="0" borderId="4" xfId="0" applyFont="1" applyBorder="1" applyAlignment="1" quotePrefix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top"/>
    </xf>
    <xf numFmtId="0" fontId="11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161925</xdr:rowOff>
    </xdr:from>
    <xdr:to>
      <xdr:col>32</xdr:col>
      <xdr:colOff>9525</xdr:colOff>
      <xdr:row>18</xdr:row>
      <xdr:rowOff>0</xdr:rowOff>
    </xdr:to>
    <xdr:sp>
      <xdr:nvSpPr>
        <xdr:cNvPr id="1" name="Rectangle 9"/>
        <xdr:cNvSpPr>
          <a:spLocks/>
        </xdr:cNvSpPr>
      </xdr:nvSpPr>
      <xdr:spPr>
        <a:xfrm>
          <a:off x="4067175" y="3438525"/>
          <a:ext cx="2209800" cy="828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200025</xdr:rowOff>
    </xdr:from>
    <xdr:to>
      <xdr:col>32</xdr:col>
      <xdr:colOff>9525</xdr:colOff>
      <xdr:row>14</xdr:row>
      <xdr:rowOff>200025</xdr:rowOff>
    </xdr:to>
    <xdr:sp>
      <xdr:nvSpPr>
        <xdr:cNvPr id="2" name="Line 10"/>
        <xdr:cNvSpPr>
          <a:spLocks/>
        </xdr:cNvSpPr>
      </xdr:nvSpPr>
      <xdr:spPr>
        <a:xfrm>
          <a:off x="4067175" y="34766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17</xdr:row>
      <xdr:rowOff>200025</xdr:rowOff>
    </xdr:from>
    <xdr:to>
      <xdr:col>32</xdr:col>
      <xdr:colOff>9525</xdr:colOff>
      <xdr:row>17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4076700" y="42195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15</xdr:row>
      <xdr:rowOff>0</xdr:rowOff>
    </xdr:from>
    <xdr:to>
      <xdr:col>31</xdr:col>
      <xdr:colOff>114300</xdr:colOff>
      <xdr:row>17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4171950" y="3524250"/>
          <a:ext cx="2009775" cy="657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15</xdr:row>
      <xdr:rowOff>66675</xdr:rowOff>
    </xdr:from>
    <xdr:to>
      <xdr:col>31</xdr:col>
      <xdr:colOff>104775</xdr:colOff>
      <xdr:row>15</xdr:row>
      <xdr:rowOff>66675</xdr:rowOff>
    </xdr:to>
    <xdr:sp>
      <xdr:nvSpPr>
        <xdr:cNvPr id="5" name="Line 13"/>
        <xdr:cNvSpPr>
          <a:spLocks/>
        </xdr:cNvSpPr>
      </xdr:nvSpPr>
      <xdr:spPr>
        <a:xfrm>
          <a:off x="4181475" y="35909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31</xdr:col>
      <xdr:colOff>104775</xdr:colOff>
      <xdr:row>19</xdr:row>
      <xdr:rowOff>0</xdr:rowOff>
    </xdr:to>
    <xdr:sp>
      <xdr:nvSpPr>
        <xdr:cNvPr id="6" name="Line 14"/>
        <xdr:cNvSpPr>
          <a:spLocks/>
        </xdr:cNvSpPr>
      </xdr:nvSpPr>
      <xdr:spPr>
        <a:xfrm>
          <a:off x="4181475" y="4514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14</xdr:row>
      <xdr:rowOff>0</xdr:rowOff>
    </xdr:from>
    <xdr:to>
      <xdr:col>31</xdr:col>
      <xdr:colOff>104775</xdr:colOff>
      <xdr:row>14</xdr:row>
      <xdr:rowOff>0</xdr:rowOff>
    </xdr:to>
    <xdr:sp>
      <xdr:nvSpPr>
        <xdr:cNvPr id="7" name="Line 15"/>
        <xdr:cNvSpPr>
          <a:spLocks/>
        </xdr:cNvSpPr>
      </xdr:nvSpPr>
      <xdr:spPr>
        <a:xfrm>
          <a:off x="418147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4076700" y="50101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13</xdr:row>
      <xdr:rowOff>190500</xdr:rowOff>
    </xdr:from>
    <xdr:to>
      <xdr:col>31</xdr:col>
      <xdr:colOff>104775</xdr:colOff>
      <xdr:row>19</xdr:row>
      <xdr:rowOff>66675</xdr:rowOff>
    </xdr:to>
    <xdr:sp>
      <xdr:nvSpPr>
        <xdr:cNvPr id="9" name="Line 17"/>
        <xdr:cNvSpPr>
          <a:spLocks/>
        </xdr:cNvSpPr>
      </xdr:nvSpPr>
      <xdr:spPr>
        <a:xfrm>
          <a:off x="6172200" y="32194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13</xdr:row>
      <xdr:rowOff>200025</xdr:rowOff>
    </xdr:from>
    <xdr:to>
      <xdr:col>21</xdr:col>
      <xdr:colOff>114300</xdr:colOff>
      <xdr:row>19</xdr:row>
      <xdr:rowOff>76200</xdr:rowOff>
    </xdr:to>
    <xdr:sp>
      <xdr:nvSpPr>
        <xdr:cNvPr id="10" name="Line 18"/>
        <xdr:cNvSpPr>
          <a:spLocks/>
        </xdr:cNvSpPr>
      </xdr:nvSpPr>
      <xdr:spPr>
        <a:xfrm>
          <a:off x="4181475" y="32289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17</xdr:row>
      <xdr:rowOff>219075</xdr:rowOff>
    </xdr:from>
    <xdr:to>
      <xdr:col>32</xdr:col>
      <xdr:colOff>9525</xdr:colOff>
      <xdr:row>21</xdr:row>
      <xdr:rowOff>57150</xdr:rowOff>
    </xdr:to>
    <xdr:sp>
      <xdr:nvSpPr>
        <xdr:cNvPr id="11" name="Line 19"/>
        <xdr:cNvSpPr>
          <a:spLocks/>
        </xdr:cNvSpPr>
      </xdr:nvSpPr>
      <xdr:spPr>
        <a:xfrm>
          <a:off x="6276975" y="42386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219075</xdr:rowOff>
    </xdr:from>
    <xdr:to>
      <xdr:col>21</xdr:col>
      <xdr:colOff>0</xdr:colOff>
      <xdr:row>21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4067175" y="42386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76200</xdr:rowOff>
    </xdr:from>
    <xdr:to>
      <xdr:col>8</xdr:col>
      <xdr:colOff>19050</xdr:colOff>
      <xdr:row>26</xdr:row>
      <xdr:rowOff>114300</xdr:rowOff>
    </xdr:to>
    <xdr:sp>
      <xdr:nvSpPr>
        <xdr:cNvPr id="13" name="Line 34"/>
        <xdr:cNvSpPr>
          <a:spLocks/>
        </xdr:cNvSpPr>
      </xdr:nvSpPr>
      <xdr:spPr>
        <a:xfrm flipV="1">
          <a:off x="1104900" y="6076950"/>
          <a:ext cx="381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28575</xdr:rowOff>
    </xdr:from>
    <xdr:to>
      <xdr:col>8</xdr:col>
      <xdr:colOff>19050</xdr:colOff>
      <xdr:row>27</xdr:row>
      <xdr:rowOff>114300</xdr:rowOff>
    </xdr:to>
    <xdr:sp>
      <xdr:nvSpPr>
        <xdr:cNvPr id="14" name="Line 35"/>
        <xdr:cNvSpPr>
          <a:spLocks/>
        </xdr:cNvSpPr>
      </xdr:nvSpPr>
      <xdr:spPr>
        <a:xfrm flipV="1">
          <a:off x="1114425" y="6524625"/>
          <a:ext cx="371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38100</xdr:colOff>
      <xdr:row>40</xdr:row>
      <xdr:rowOff>95250</xdr:rowOff>
    </xdr:from>
    <xdr:to>
      <xdr:col>22</xdr:col>
      <xdr:colOff>180975</xdr:colOff>
      <xdr:row>45</xdr:row>
      <xdr:rowOff>180975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686800"/>
          <a:ext cx="942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171450</xdr:colOff>
      <xdr:row>41</xdr:row>
      <xdr:rowOff>95250</xdr:rowOff>
    </xdr:from>
    <xdr:to>
      <xdr:col>25</xdr:col>
      <xdr:colOff>66675</xdr:colOff>
      <xdr:row>41</xdr:row>
      <xdr:rowOff>95250</xdr:rowOff>
    </xdr:to>
    <xdr:sp>
      <xdr:nvSpPr>
        <xdr:cNvPr id="16" name="Line 37"/>
        <xdr:cNvSpPr>
          <a:spLocks/>
        </xdr:cNvSpPr>
      </xdr:nvSpPr>
      <xdr:spPr>
        <a:xfrm>
          <a:off x="4438650" y="8934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42</xdr:row>
      <xdr:rowOff>133350</xdr:rowOff>
    </xdr:from>
    <xdr:to>
      <xdr:col>25</xdr:col>
      <xdr:colOff>76200</xdr:colOff>
      <xdr:row>42</xdr:row>
      <xdr:rowOff>133350</xdr:rowOff>
    </xdr:to>
    <xdr:sp>
      <xdr:nvSpPr>
        <xdr:cNvPr id="17" name="Line 38"/>
        <xdr:cNvSpPr>
          <a:spLocks/>
        </xdr:cNvSpPr>
      </xdr:nvSpPr>
      <xdr:spPr>
        <a:xfrm>
          <a:off x="4448175" y="922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41</xdr:row>
      <xdr:rowOff>85725</xdr:rowOff>
    </xdr:from>
    <xdr:to>
      <xdr:col>18</xdr:col>
      <xdr:colOff>0</xdr:colOff>
      <xdr:row>41</xdr:row>
      <xdr:rowOff>85725</xdr:rowOff>
    </xdr:to>
    <xdr:sp>
      <xdr:nvSpPr>
        <xdr:cNvPr id="18" name="Line 39"/>
        <xdr:cNvSpPr>
          <a:spLocks/>
        </xdr:cNvSpPr>
      </xdr:nvSpPr>
      <xdr:spPr>
        <a:xfrm flipH="1">
          <a:off x="2324100" y="8924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42</xdr:row>
      <xdr:rowOff>123825</xdr:rowOff>
    </xdr:from>
    <xdr:to>
      <xdr:col>18</xdr:col>
      <xdr:colOff>9525</xdr:colOff>
      <xdr:row>42</xdr:row>
      <xdr:rowOff>123825</xdr:rowOff>
    </xdr:to>
    <xdr:sp>
      <xdr:nvSpPr>
        <xdr:cNvPr id="19" name="Line 40"/>
        <xdr:cNvSpPr>
          <a:spLocks/>
        </xdr:cNvSpPr>
      </xdr:nvSpPr>
      <xdr:spPr>
        <a:xfrm flipH="1">
          <a:off x="2333625" y="92106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19050</xdr:colOff>
      <xdr:row>65</xdr:row>
      <xdr:rowOff>85725</xdr:rowOff>
    </xdr:from>
    <xdr:to>
      <xdr:col>34</xdr:col>
      <xdr:colOff>114300</xdr:colOff>
      <xdr:row>71</xdr:row>
      <xdr:rowOff>38100</xdr:rowOff>
    </xdr:to>
    <xdr:pic>
      <xdr:nvPicPr>
        <xdr:cNvPr id="20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14601825"/>
          <a:ext cx="1095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10</xdr:row>
      <xdr:rowOff>76200</xdr:rowOff>
    </xdr:from>
    <xdr:to>
      <xdr:col>27</xdr:col>
      <xdr:colOff>152400</xdr:colOff>
      <xdr:row>12</xdr:row>
      <xdr:rowOff>161925</xdr:rowOff>
    </xdr:to>
    <xdr:pic>
      <xdr:nvPicPr>
        <xdr:cNvPr id="21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23622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180975</xdr:colOff>
      <xdr:row>10</xdr:row>
      <xdr:rowOff>76200</xdr:rowOff>
    </xdr:from>
    <xdr:to>
      <xdr:col>22</xdr:col>
      <xdr:colOff>95250</xdr:colOff>
      <xdr:row>12</xdr:row>
      <xdr:rowOff>180975</xdr:rowOff>
    </xdr:to>
    <xdr:pic>
      <xdr:nvPicPr>
        <xdr:cNvPr id="22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3622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0</xdr:row>
      <xdr:rowOff>66675</xdr:rowOff>
    </xdr:from>
    <xdr:to>
      <xdr:col>34</xdr:col>
      <xdr:colOff>104775</xdr:colOff>
      <xdr:row>2</xdr:row>
      <xdr:rowOff>142875</xdr:rowOff>
    </xdr:to>
    <xdr:pic>
      <xdr:nvPicPr>
        <xdr:cNvPr id="23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66675"/>
          <a:ext cx="1866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6"/>
  <sheetViews>
    <sheetView showGridLines="0" tabSelected="1" zoomScaleSheetLayoutView="75" workbookViewId="0" topLeftCell="A1">
      <selection activeCell="C90" sqref="C90:AH92"/>
    </sheetView>
  </sheetViews>
  <sheetFormatPr defaultColWidth="11.421875" defaultRowHeight="12.75"/>
  <cols>
    <col min="1" max="1" width="0.9921875" style="0" customWidth="1"/>
    <col min="2" max="34" width="3.00390625" style="0" customWidth="1"/>
    <col min="35" max="35" width="2.421875" style="0" customWidth="1"/>
    <col min="36" max="36" width="2.00390625" style="0" customWidth="1"/>
    <col min="37" max="37" width="11.57421875" style="0" hidden="1" customWidth="1"/>
    <col min="38" max="16384" width="11.57421875" style="0" customWidth="1"/>
  </cols>
  <sheetData>
    <row r="1" ht="18">
      <c r="B1" s="1" t="str">
        <f>IF(B3=1,"Gehäuse CC-4000     Checkliste",IF(B3=2,"Control enclosure CC-4000     Check list",IF(B3=3,"Pupitre de commande CC-4000     Checklist","Custodia CC-4000    checklist")))</f>
        <v>Gehäuse CC-4000     Checkliste</v>
      </c>
    </row>
    <row r="3" ht="12.75">
      <c r="B3" s="2">
        <v>1</v>
      </c>
    </row>
    <row r="4" spans="2:35" ht="19.5" customHeight="1">
      <c r="B4" s="3" t="str">
        <f>IF(B3=1,"Kunde",IF(B3=2,"Customer",IF(B3=3,"Client","Cliente")))</f>
        <v>Kunde</v>
      </c>
      <c r="C4" s="4"/>
      <c r="D4" s="4"/>
      <c r="E4" s="133"/>
      <c r="F4" s="133"/>
      <c r="G4" s="133"/>
      <c r="H4" s="133"/>
      <c r="I4" s="133"/>
      <c r="J4" s="133"/>
      <c r="K4" s="133"/>
      <c r="L4" s="133"/>
      <c r="M4" s="133"/>
      <c r="N4" s="67" t="str">
        <f>IF(B3=1,"Produktgruppe",IF(B3=2,"Product group",IF(B3=3,"Groupe de produit","Gruppo di prodotto")))</f>
        <v>Produktgruppe</v>
      </c>
      <c r="O4" s="4"/>
      <c r="P4" s="66"/>
      <c r="Q4" s="66"/>
      <c r="R4" s="66"/>
      <c r="S4" s="133"/>
      <c r="T4" s="134"/>
      <c r="U4" s="135"/>
      <c r="V4" s="3" t="str">
        <f>IF(B3=1,"Code",IF(B3=2,"Code",IF(B3=3,"Code","Codice")))</f>
        <v>Code</v>
      </c>
      <c r="W4" s="4"/>
      <c r="X4" s="133"/>
      <c r="Y4" s="108"/>
      <c r="Z4" s="5" t="str">
        <f>IF(B3=1,"Artikel-Nr.",IF(B3=2,"Part No.",IF(B3=3,"Réf.","Art.-No.")))</f>
        <v>Artikel-Nr.</v>
      </c>
      <c r="AA4" s="4"/>
      <c r="AB4" s="4"/>
      <c r="AC4" s="4"/>
      <c r="AD4" s="182"/>
      <c r="AE4" s="182"/>
      <c r="AF4" s="182"/>
      <c r="AG4" s="182"/>
      <c r="AH4" s="182"/>
      <c r="AI4" s="183"/>
    </row>
    <row r="5" spans="2:35" ht="19.5" customHeight="1">
      <c r="B5" s="3" t="str">
        <f>IF(B3=1,"Anschrift",IF(B3=2,"Address",IF(B3=3,"Adresse","Indirizzo")))</f>
        <v>Anschrift</v>
      </c>
      <c r="C5" s="4"/>
      <c r="D5" s="4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08"/>
      <c r="Z5" s="5" t="str">
        <f>IF(B3=1,"Kunden-Nr.",IF(B3=2,"Cust. No.",IF(B3=3,"n° client","No.cliente")))</f>
        <v>Kunden-Nr.</v>
      </c>
      <c r="AA5" s="4"/>
      <c r="AB5" s="4"/>
      <c r="AC5" s="4"/>
      <c r="AD5" s="184"/>
      <c r="AE5" s="184"/>
      <c r="AF5" s="184"/>
      <c r="AG5" s="184"/>
      <c r="AH5" s="184"/>
      <c r="AI5" s="185"/>
    </row>
    <row r="6" spans="2:35" ht="19.5" customHeight="1">
      <c r="B6" s="3" t="str">
        <f>IF(B3=1,"Telefon",IF(B3=2,"Telephone",IF(B3=3,"Téléphone","Telefono")))</f>
        <v>Telefon</v>
      </c>
      <c r="C6" s="4"/>
      <c r="D6" s="4"/>
      <c r="E6" s="202"/>
      <c r="F6" s="202"/>
      <c r="G6" s="202"/>
      <c r="H6" s="202"/>
      <c r="I6" s="202"/>
      <c r="J6" s="202"/>
      <c r="K6" s="202"/>
      <c r="L6" s="202"/>
      <c r="M6" s="207"/>
      <c r="N6" s="3" t="str">
        <f>IF(B3=1,"Telefax",IF(B3=2,"Fax",IF(B3=3,"Fax","Fax")))</f>
        <v>Telefax</v>
      </c>
      <c r="O6" s="4"/>
      <c r="P6" s="4"/>
      <c r="Q6" s="202"/>
      <c r="R6" s="202"/>
      <c r="S6" s="202"/>
      <c r="T6" s="202"/>
      <c r="U6" s="202"/>
      <c r="V6" s="202"/>
      <c r="W6" s="202"/>
      <c r="X6" s="202"/>
      <c r="Y6" s="207"/>
      <c r="Z6" s="5" t="str">
        <f>IF(B3=1,"Branche",IF(B3=2,"Branch",IF(B3=3,"Secteur d'activité","Settore")))</f>
        <v>Branche</v>
      </c>
      <c r="AA6" s="4"/>
      <c r="AB6" s="4"/>
      <c r="AC6" s="4"/>
      <c r="AD6" s="95"/>
      <c r="AE6" s="184"/>
      <c r="AF6" s="200"/>
      <c r="AG6" s="200"/>
      <c r="AH6" s="200"/>
      <c r="AI6" s="201"/>
    </row>
    <row r="7" spans="2:35" ht="19.5" customHeight="1">
      <c r="B7" s="3" t="str">
        <f>IF(B3=1,"Ansprechpartner",IF(B3=2,"Contact",IF(B3=3,"Interlocuteur","Interlocutore")))</f>
        <v>Ansprechpartner</v>
      </c>
      <c r="C7" s="4"/>
      <c r="D7" s="4"/>
      <c r="E7" s="4"/>
      <c r="F7" s="4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8"/>
      <c r="V7" s="5" t="str">
        <f>IF(B3=1,"Abteilung",IF(B3=2,"Department",IF(B3=3,"Service","Reparto")))</f>
        <v>Abteilung</v>
      </c>
      <c r="W7" s="4"/>
      <c r="X7" s="4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08"/>
    </row>
    <row r="8" spans="2:35" ht="19.5" customHeight="1">
      <c r="B8" s="6"/>
      <c r="C8" s="4"/>
      <c r="D8" s="7" t="str">
        <f>IF(B3=1,"Anfrage zur Preisorientierung",IF(B3=2,"Budget enquiry",IF(B3=3,"Demande de prix","Richiesta di prezzo")))</f>
        <v>Anfrage zur Preisorientierung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8"/>
      <c r="V8" s="5" t="str">
        <f>IF(B3=1,"Zielpreis",IF(B3=2,"Target price",IF(B3=3,"Prix ciblé","Prezzo di vendita")))</f>
        <v>Zielpreis</v>
      </c>
      <c r="W8" s="4"/>
      <c r="X8" s="4"/>
      <c r="Y8" s="4"/>
      <c r="Z8" s="65"/>
      <c r="AA8" s="184"/>
      <c r="AB8" s="200"/>
      <c r="AC8" s="200"/>
      <c r="AD8" s="200"/>
      <c r="AE8" s="201"/>
      <c r="AF8" s="179" t="str">
        <f>IF(B3=1,"Stückzahl",IF(B3=2,"Number of Items",IF(B3=3,"Quantité","Quantità")))</f>
        <v>Stückzahl</v>
      </c>
      <c r="AG8" s="180"/>
      <c r="AH8" s="180"/>
      <c r="AI8" s="181"/>
    </row>
    <row r="9" spans="2:35" ht="19.5" customHeight="1">
      <c r="B9" s="6"/>
      <c r="C9" s="4"/>
      <c r="D9" s="9" t="str">
        <f>IF(B3=1,"Anfrage",IF(B3=2,"Price enquiry",IF(B3=3,"Demande","Richiesta")))</f>
        <v>Anfrage</v>
      </c>
      <c r="E9" s="4"/>
      <c r="F9" s="4"/>
      <c r="G9" s="10"/>
      <c r="H9" s="11"/>
      <c r="I9" s="12" t="str">
        <f>IF(B3=1,"Anfrage-Nr.",IF(B3=2,"Enquiry No.",IF(B3=3,"n°","No.")))</f>
        <v>Anfrage-Nr.</v>
      </c>
      <c r="J9" s="13"/>
      <c r="K9" s="14"/>
      <c r="L9" s="14"/>
      <c r="M9" s="202"/>
      <c r="N9" s="133"/>
      <c r="O9" s="133"/>
      <c r="P9" s="133"/>
      <c r="Q9" s="133"/>
      <c r="R9" s="133"/>
      <c r="S9" s="133"/>
      <c r="T9" s="133"/>
      <c r="U9" s="108"/>
      <c r="V9" s="5" t="str">
        <f>IF(B3=1,"Jahresbedarf",IF(B3=2,"Quantity per annum",IF(B3=3,"Besoin annuel","Quantità annuale")))</f>
        <v>Jahresbedarf</v>
      </c>
      <c r="W9" s="4"/>
      <c r="X9" s="4"/>
      <c r="Y9" s="4"/>
      <c r="Z9" s="65"/>
      <c r="AA9" s="204"/>
      <c r="AB9" s="205"/>
      <c r="AC9" s="205"/>
      <c r="AD9" s="205"/>
      <c r="AE9" s="206"/>
      <c r="AF9" s="176"/>
      <c r="AG9" s="177"/>
      <c r="AH9" s="177"/>
      <c r="AI9" s="178"/>
    </row>
    <row r="10" spans="2:35" ht="19.5" customHeight="1">
      <c r="B10" s="15"/>
      <c r="C10" s="4"/>
      <c r="D10" s="9" t="str">
        <f>IF(B3=1,"Auftrag",IF(B3=2,"Order",IF(B3=3,"Commande","Ordine")))</f>
        <v>Auftrag</v>
      </c>
      <c r="E10" s="4"/>
      <c r="F10" s="4"/>
      <c r="G10" s="4"/>
      <c r="H10" s="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8"/>
      <c r="V10" s="5" t="str">
        <f>IF(B3=1,"Liefertermin",IF(B3=2,"Delivery date",IF(B3=3,"Date de livraison","Data di consegna")))</f>
        <v>Liefertermin</v>
      </c>
      <c r="W10" s="4"/>
      <c r="X10" s="4"/>
      <c r="Y10" s="4"/>
      <c r="Z10" s="65"/>
      <c r="AA10" s="204"/>
      <c r="AB10" s="205"/>
      <c r="AC10" s="205"/>
      <c r="AD10" s="205"/>
      <c r="AE10" s="206"/>
      <c r="AF10" s="176"/>
      <c r="AG10" s="177"/>
      <c r="AH10" s="177"/>
      <c r="AI10" s="178"/>
    </row>
    <row r="11" spans="2:35" ht="19.5" customHeight="1">
      <c r="B11" s="16">
        <v>1</v>
      </c>
      <c r="C11" s="136" t="str">
        <f>IF(B3=1,"Gehäuse",IF(B3=2,"Enclosure",IF(B3=3,"Pupitre","Custodia")))</f>
        <v>Gehäuse</v>
      </c>
      <c r="D11" s="121"/>
      <c r="E11" s="121"/>
      <c r="F11" s="121"/>
      <c r="G11" s="121"/>
      <c r="H11" s="17"/>
      <c r="I11" s="203" t="s">
        <v>21</v>
      </c>
      <c r="J11" s="203"/>
      <c r="K11" s="203"/>
      <c r="L11" s="20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62"/>
      <c r="AA11" s="18"/>
      <c r="AB11" s="48"/>
      <c r="AC11" s="210" t="str">
        <f>IF(B3=1,"Voraussichtliches Einbaugewicht:",IF(B3=2,"Estimated mounted component weight:",IF(B3=3,"Poids problable des objets incorporés:","Probabile peso dei componenti installati")))</f>
        <v>Voraussichtliches Einbaugewicht:</v>
      </c>
      <c r="AD11" s="210"/>
      <c r="AE11" s="210"/>
      <c r="AF11" s="210"/>
      <c r="AG11" s="210"/>
      <c r="AH11" s="210"/>
      <c r="AI11" s="211"/>
    </row>
    <row r="12" spans="2:35" ht="19.5" customHeight="1">
      <c r="B12" s="19"/>
      <c r="H12" s="24"/>
      <c r="I12" s="129" t="str">
        <f>IF(B3=1,"Pultgehäuse, Oberteil",IF(B3=2,"Desk version, control enclosure",IF(B3=3,"Pupitre de retour, partie supérieure","Pulpito, parte superiore")))</f>
        <v>Pultgehäuse, Oberteil</v>
      </c>
      <c r="J12" s="152"/>
      <c r="K12" s="152"/>
      <c r="L12" s="152"/>
      <c r="M12" s="152"/>
      <c r="N12" s="152"/>
      <c r="O12" s="152"/>
      <c r="P12" s="152"/>
      <c r="Q12" s="152"/>
      <c r="R12" s="152"/>
      <c r="T12" s="20"/>
      <c r="U12" s="20"/>
      <c r="V12" s="20"/>
      <c r="W12" s="20"/>
      <c r="X12" s="20"/>
      <c r="Y12" s="20"/>
      <c r="Z12" s="63"/>
      <c r="AA12" s="63"/>
      <c r="AB12" s="51"/>
      <c r="AC12" s="212"/>
      <c r="AD12" s="212"/>
      <c r="AE12" s="212"/>
      <c r="AF12" s="212"/>
      <c r="AG12" s="212"/>
      <c r="AH12" s="212"/>
      <c r="AI12" s="213"/>
    </row>
    <row r="13" spans="2:35" ht="19.5" customHeight="1">
      <c r="B13" s="15"/>
      <c r="I13" s="123" t="str">
        <f>IF(B3=1,"Pultgehäuse, Unterteil",IF(B3=2,"Desk version, keyboard housing",IF(B3=3,"Pupitre de retour, partie inférieure","Pulpito, parte inferiore")))</f>
        <v>Pultgehäuse, Unterteil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69" t="str">
        <f>IF(B3=1,"vorne",IF(B3=2,"front",IF(B3=3,"devant","davanti")))</f>
        <v>vorne</v>
      </c>
      <c r="T13" s="269"/>
      <c r="V13" s="21"/>
      <c r="X13" s="270" t="str">
        <f>IF(B3=1,"vorne",IF(B3=2,"front",IF(B3=3,"devant","davanti")))</f>
        <v>vorne</v>
      </c>
      <c r="Y13" s="270"/>
      <c r="AA13" s="21"/>
      <c r="AB13" s="64"/>
      <c r="AD13" s="142"/>
      <c r="AE13" s="214"/>
      <c r="AF13" s="143"/>
      <c r="AH13" s="22" t="s">
        <v>0</v>
      </c>
      <c r="AI13" s="23"/>
    </row>
    <row r="14" spans="2:35" ht="19.5" customHeight="1">
      <c r="B14" s="16">
        <v>2</v>
      </c>
      <c r="C14" s="136" t="str">
        <f>IF(B3=1,"Abmessungen (mm)",IF(B3=2,"Dimensions (mm)",IF(B3=3,"Dimensions (mm)","Dimensioni")))</f>
        <v>Abmessungen (mm)</v>
      </c>
      <c r="D14" s="137"/>
      <c r="E14" s="137"/>
      <c r="F14" s="137"/>
      <c r="G14" s="137"/>
      <c r="H14" s="137"/>
      <c r="I14" s="137"/>
      <c r="J14" s="224"/>
      <c r="K14" s="10"/>
      <c r="L14" s="10"/>
      <c r="M14" s="10"/>
      <c r="N14" s="10"/>
      <c r="O14" s="10"/>
      <c r="P14" s="10"/>
      <c r="Q14" s="10"/>
      <c r="R14" s="11"/>
      <c r="S14" s="10"/>
      <c r="T14" s="10"/>
      <c r="U14" s="216" t="str">
        <f>IF(B3=1,"Frontplatte: e x f = B-111 x H-97",IF(B3=2,"Front plate:  e x f = B-111 x H-97",IF(B3=3,"plaque frontale:  e x f = B-111 x H-97","piastra frontale:  e x f = B-111 x H-97")))</f>
        <v>Frontplatte: e x f = B-111 x H-97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10"/>
      <c r="AI14" s="11"/>
    </row>
    <row r="15" spans="2:35" ht="19.5" customHeight="1">
      <c r="B15" s="19"/>
      <c r="C15" s="131" t="str">
        <f>IF(B3=1,"Gehäuseaußenmaß",IF(B3=2,"Housing dimensions externally",IF(B3=3,"Dimensions extérieur","Dimensioni esterni")))</f>
        <v>Gehäuseaußenmaß</v>
      </c>
      <c r="D15" s="152"/>
      <c r="E15" s="152"/>
      <c r="F15" s="152"/>
      <c r="G15" s="152"/>
      <c r="H15" s="152"/>
      <c r="I15" s="152"/>
      <c r="J15" s="152"/>
      <c r="K15" s="152"/>
      <c r="L15" s="152"/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5"/>
    </row>
    <row r="16" spans="2:35" ht="19.5" customHeight="1">
      <c r="B16" s="15"/>
      <c r="C16" s="215" t="str">
        <f>IF(B3=1,"Breite x Höhe ( B x H ):",IF(B3=2,"Width x Height ( B x H ):",IF(B3=3,"Largeur x Hauteur ( B x H ):","Largh. x Alt. ( B x H ):")))</f>
        <v>Breite x Höhe ( B x H ):</v>
      </c>
      <c r="D16" s="215"/>
      <c r="E16" s="215"/>
      <c r="F16" s="215"/>
      <c r="G16" s="215"/>
      <c r="H16" s="215"/>
      <c r="I16" s="215"/>
      <c r="J16" s="215"/>
      <c r="K16" s="21"/>
      <c r="L16" s="142"/>
      <c r="M16" s="214"/>
      <c r="N16" s="143"/>
      <c r="O16" s="26" t="s">
        <v>1</v>
      </c>
      <c r="P16" s="142"/>
      <c r="Q16" s="214"/>
      <c r="R16" s="143"/>
      <c r="S16" s="20"/>
      <c r="T16" s="20"/>
      <c r="U16" s="229" t="str">
        <f>IF(B3=1,"Belegungsfläche: B-125 x H-111",IF(B3=2,"Usable area: B-125 x H-111",IF(B3=3,"Surface équipable: B-125 x H-111","Luce libera: B-125 x H-111")))</f>
        <v>Belegungsfläche: B-125 x H-111</v>
      </c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0"/>
      <c r="AI16" s="25"/>
    </row>
    <row r="17" spans="2:35" ht="19.5" customHeight="1">
      <c r="B17" s="19"/>
      <c r="C17" s="208" t="str">
        <f>IF(B3=1,"19'' Gehäuse",IF(B3=2,"19'' Housing",IF(B3=3,"Pupitre 19''","Custodia 19 poll.")))</f>
        <v>19'' Gehäuse</v>
      </c>
      <c r="D17" s="208"/>
      <c r="E17" s="208"/>
      <c r="F17" s="208"/>
      <c r="G17" s="208"/>
      <c r="H17" s="208"/>
      <c r="I17" s="27" t="s">
        <v>2</v>
      </c>
      <c r="J17" s="26" t="s">
        <v>22</v>
      </c>
      <c r="K17" s="26" t="s">
        <v>3</v>
      </c>
      <c r="L17" s="189">
        <f>IF(P18&gt;0,595,0)</f>
        <v>0</v>
      </c>
      <c r="M17" s="190"/>
      <c r="N17" s="191"/>
      <c r="O17" s="28" t="s">
        <v>1</v>
      </c>
      <c r="P17" s="189">
        <f>IF(P18&gt;0,ROUNDUP(P18*44.45+97,0),0)</f>
        <v>0</v>
      </c>
      <c r="Q17" s="190"/>
      <c r="R17" s="191"/>
      <c r="S17" s="20"/>
      <c r="T17" s="20"/>
      <c r="U17" s="230" t="str">
        <f>IF(B3=1,"bei Frontplatte innen",IF(B3=2,"on front plate mounted internally",IF(B3=3,"plaque frontale int.","per piastra frontale interna")))</f>
        <v>bei Frontplatte innen</v>
      </c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0"/>
      <c r="AI17" s="25"/>
    </row>
    <row r="18" spans="2:35" ht="19.5" customHeight="1">
      <c r="B18" s="15"/>
      <c r="C18" s="209" t="s">
        <v>4</v>
      </c>
      <c r="D18" s="209"/>
      <c r="E18" s="209"/>
      <c r="F18" s="209"/>
      <c r="G18" s="209"/>
      <c r="H18" s="123"/>
      <c r="I18" s="123"/>
      <c r="J18" s="123"/>
      <c r="K18" s="123"/>
      <c r="L18" s="30"/>
      <c r="M18" s="111" t="s">
        <v>5</v>
      </c>
      <c r="N18" s="111"/>
      <c r="O18" s="153"/>
      <c r="P18" s="147"/>
      <c r="Q18" s="147"/>
      <c r="R18" s="148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5"/>
    </row>
    <row r="19" spans="2:35" ht="19.5" customHeight="1">
      <c r="B19" s="19"/>
      <c r="C19" s="219" t="str">
        <f>IF(B3=1,"Frontplattenmaß:    e x f",IF(B3=2,"Front plate dimensions:    e x f",IF(B3=3,"Dim. plaque frontale:    e x f","Dim. piastra frontale:    e x f")))</f>
        <v>Frontplattenmaß:    e x f</v>
      </c>
      <c r="D19" s="219"/>
      <c r="E19" s="219"/>
      <c r="F19" s="219"/>
      <c r="G19" s="219"/>
      <c r="H19" s="219"/>
      <c r="I19" s="219"/>
      <c r="J19" s="219"/>
      <c r="K19" s="219"/>
      <c r="L19" s="220"/>
      <c r="M19" s="221"/>
      <c r="N19" s="222"/>
      <c r="O19" s="26" t="s">
        <v>1</v>
      </c>
      <c r="P19" s="220">
        <f>IF(NOT(Variablen!E20=TRUE),IF(OR(Variablen!A5=TRUE,Variablen!A6=TRUE),IF(OR(P16&gt;0,P17&gt;0),P16+P17-97,0),0),0)</f>
        <v>0</v>
      </c>
      <c r="Q19" s="221"/>
      <c r="R19" s="222"/>
      <c r="S19" s="20"/>
      <c r="T19" s="20"/>
      <c r="U19" s="229" t="str">
        <f>IF(B3=1,"Belegungsfläche: B-145 x H-131",IF(B3=2,"Usable area: B-145 x H-131",IF(B3=3,"Surface équipable: B-145 x H-131","Luce libera: B-145 x H-131")))</f>
        <v>Belegungsfläche: B-145 x H-131</v>
      </c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0"/>
      <c r="AI19" s="25"/>
    </row>
    <row r="20" spans="2:35" ht="19.5" customHeight="1">
      <c r="B20" s="15"/>
      <c r="C20" s="223" t="s">
        <v>6</v>
      </c>
      <c r="D20" s="223"/>
      <c r="E20" s="223"/>
      <c r="F20" s="223"/>
      <c r="G20" s="223"/>
      <c r="H20" s="215"/>
      <c r="I20" s="215"/>
      <c r="J20" s="215"/>
      <c r="K20" s="215"/>
      <c r="L20" s="32"/>
      <c r="M20" s="32"/>
      <c r="N20" s="32"/>
      <c r="O20" s="33"/>
      <c r="P20" s="32"/>
      <c r="Q20" s="32"/>
      <c r="R20" s="34"/>
      <c r="S20" s="20"/>
      <c r="T20" s="20"/>
      <c r="U20" s="230" t="str">
        <f>IF(B3=1,"bei Frontplatte außen",IF(B3=2,"on front plate mounted externally",IF(B3=3,"plaque frontale ext.","per piastra frontale esterna")))</f>
        <v>bei Frontplatte außen</v>
      </c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0"/>
      <c r="AI20" s="25"/>
    </row>
    <row r="21" spans="2:35" ht="19.5" customHeight="1">
      <c r="B21" s="19"/>
      <c r="C21" s="219" t="str">
        <f>IF(B3=1,"Rückwandmaß:    b x h",IF(B3=2,"Back plate dimensions:    b x h",IF(B3=3,"Dim. panneau arrière:    b x h","Dim. piastra posteriore:   b x h")))</f>
        <v>Rückwandmaß:    b x h</v>
      </c>
      <c r="D21" s="219"/>
      <c r="E21" s="219"/>
      <c r="F21" s="219"/>
      <c r="G21" s="219"/>
      <c r="H21" s="219"/>
      <c r="I21" s="219"/>
      <c r="J21" s="219"/>
      <c r="K21" s="219"/>
      <c r="L21" s="189">
        <f>IF(Variablen!A10=TRUE,IF(OR(L16&gt;0,L17&gt;0),L16+L17-61,0),IF(Variablen!A11=TRUE,IF(OR(L16&gt;0,L17&gt;0),L16+L17-63,0),0))</f>
        <v>0</v>
      </c>
      <c r="M21" s="190"/>
      <c r="N21" s="191"/>
      <c r="O21" s="28" t="s">
        <v>1</v>
      </c>
      <c r="P21" s="189">
        <f>IF(Variablen!A10=TRUE,IF(OR(P16&gt;0,P17&gt;0),P16+P17-47,0),IF(Variablen!A11=TRUE,IF(OR(P16&gt;0,P17&gt;0),P16+P17-47,0),0))</f>
        <v>0</v>
      </c>
      <c r="Q21" s="190"/>
      <c r="R21" s="191"/>
      <c r="S21" s="20"/>
      <c r="T21" s="20"/>
      <c r="U21" s="229" t="str">
        <f>IF(B3=1,"Gehäusemaß:  B x H",IF(B3=2,"External enclosure dimension:  B x H",IF(B3=3,"Dimensions de pupitre:  B x H","Dimensioni della custodia:  B x H")))</f>
        <v>Gehäusemaß:  B x H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0"/>
      <c r="AI21" s="25"/>
    </row>
    <row r="22" spans="2:35" ht="19.5" customHeight="1">
      <c r="B22" s="249" t="s">
        <v>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3" t="str">
        <f>IF(B3=1,"(schwenkb. Rückwand)",IF(B3=2,"(hinged back plate)",IF(B3=3,"(panneau arr. pivotant)","(p.tra post. incernierata)")))</f>
        <v>(schwenkb. Rückwand)</v>
      </c>
      <c r="N22" s="253"/>
      <c r="O22" s="253"/>
      <c r="P22" s="253"/>
      <c r="Q22" s="253"/>
      <c r="R22" s="254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3"/>
    </row>
    <row r="23" spans="2:35" ht="19.5" customHeight="1">
      <c r="B23" s="16">
        <v>3</v>
      </c>
      <c r="C23" s="136" t="str">
        <f>IF(B3=1,"Profilart",IF(B3=2,"Profile",IF(B3=3,"Type de profilé","Tipo di profilo")))</f>
        <v>Profilart</v>
      </c>
      <c r="D23" s="137"/>
      <c r="E23" s="137"/>
      <c r="F23" s="137"/>
      <c r="G23" s="137"/>
      <c r="H23" s="137"/>
      <c r="I23" s="137"/>
      <c r="J23" s="224"/>
      <c r="K23" s="10"/>
      <c r="L23" s="10"/>
      <c r="M23" s="10"/>
      <c r="N23" s="10"/>
      <c r="O23" s="10"/>
      <c r="P23" s="10"/>
      <c r="Q23" s="10"/>
      <c r="R23" s="10"/>
      <c r="S23" s="36"/>
      <c r="T23" s="36"/>
      <c r="U23" s="121" t="str">
        <f>IF(B3=1,"Profile seitlich mit Rippen",IF(B3=2,"Profiles with external fins on sides only",IF(B3=3,"Profilé avec nervures latérales","Solo profili laterali con alettature")))</f>
        <v>Profile seitlich mit Rippen</v>
      </c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1"/>
    </row>
    <row r="24" spans="2:35" ht="19.5" customHeight="1">
      <c r="B24" s="15"/>
      <c r="C24" s="29"/>
      <c r="D24" s="29"/>
      <c r="E24" s="123" t="str">
        <f>IF(B3=1,"Profil ohne Rippen",IF(B3=2,"Profile without fins",IF(B3=3,"Profilé sans nervures","Profili senza alettature")))</f>
        <v>Profil ohne Rippen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29"/>
      <c r="T24" s="29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23"/>
    </row>
    <row r="25" spans="2:35" ht="19.5" customHeight="1">
      <c r="B25" s="16">
        <v>4</v>
      </c>
      <c r="C25" s="225" t="str">
        <f>IF(B3=1,"Gehäusetiefe außen",IF(B3=2,"Enclosure depth external",IF(B3=3,"Profondeur extérieure","Profondità esterna")))</f>
        <v>Gehäusetiefe außen</v>
      </c>
      <c r="D25" s="226"/>
      <c r="E25" s="226"/>
      <c r="F25" s="226"/>
      <c r="G25" s="226"/>
      <c r="H25" s="226"/>
      <c r="I25" s="235" t="str">
        <f>IF(B3=1,"   Rahmenprofil mit FP-Anlage 3,0 mm tief",IF(B3=2,"   Frame profile with mounted FP 3,0 mm deep",IF(B3=3,"   Profilé cadre pour PF 3,0 mm épaiss","   Profili con profondità bordo di 3 mm")))</f>
        <v>   Rahmenprofil mit FP-Anlage 3,0 mm tief</v>
      </c>
      <c r="J25" s="235"/>
      <c r="K25" s="235"/>
      <c r="L25" s="235"/>
      <c r="M25" s="235"/>
      <c r="N25" s="235"/>
      <c r="O25" s="235"/>
      <c r="P25" s="235"/>
      <c r="Q25" s="235"/>
      <c r="R25" s="236"/>
      <c r="S25" s="233" t="str">
        <f>IF(B3=1,"Erweiterung",IF(B3=2,"Extension",IF(B3=3,"Profié d'extension de profondeur","Profondità profili di estensione")))</f>
        <v>Erweiterung</v>
      </c>
      <c r="T25" s="234"/>
      <c r="U25" s="234"/>
      <c r="V25" s="234"/>
      <c r="W25" s="234"/>
      <c r="X25" s="234"/>
      <c r="Y25" s="234"/>
      <c r="Z25" s="234"/>
      <c r="AA25" s="234"/>
      <c r="AB25" s="234"/>
      <c r="AC25" s="37"/>
      <c r="AD25" s="171" t="str">
        <f>IF(B3=1,"* Innentiefe für FP von innen bei FP-Anlage 3,0 mm",IF(B3=2,"* Internal depth by mounted FP 3,0 mm",IF(B3=3,"* Profondeur intérieure pour PF de l'intérieur avec PF de 3.0 mm","* Prof. libera interna con montaggio piastra frontale dall'interno, bordo di 3 mm")))</f>
        <v>* Innentiefe für FP von innen bei FP-Anlage 3,0 mm</v>
      </c>
      <c r="AE25" s="172"/>
      <c r="AF25" s="172"/>
      <c r="AG25" s="172"/>
      <c r="AH25" s="172"/>
      <c r="AI25" s="173"/>
    </row>
    <row r="26" spans="2:35" ht="19.5" customHeight="1">
      <c r="B26" s="19"/>
      <c r="C26" s="227"/>
      <c r="D26" s="227"/>
      <c r="E26" s="227"/>
      <c r="F26" s="227"/>
      <c r="G26" s="227"/>
      <c r="H26" s="227"/>
      <c r="I26" s="228">
        <v>52</v>
      </c>
      <c r="J26" s="228"/>
      <c r="K26" s="228">
        <v>140</v>
      </c>
      <c r="L26" s="228"/>
      <c r="M26" s="228">
        <v>200</v>
      </c>
      <c r="N26" s="228"/>
      <c r="O26" s="228">
        <v>290</v>
      </c>
      <c r="P26" s="228"/>
      <c r="Q26" s="228"/>
      <c r="R26" s="255"/>
      <c r="S26" s="232">
        <v>68</v>
      </c>
      <c r="T26" s="228"/>
      <c r="U26" s="228">
        <v>128</v>
      </c>
      <c r="V26" s="228"/>
      <c r="W26" s="228">
        <v>228</v>
      </c>
      <c r="X26" s="228"/>
      <c r="Y26" s="228">
        <v>128</v>
      </c>
      <c r="Z26" s="228"/>
      <c r="AA26" s="228">
        <v>68</v>
      </c>
      <c r="AB26" s="228"/>
      <c r="AC26" s="38"/>
      <c r="AD26" s="174"/>
      <c r="AE26" s="174"/>
      <c r="AF26" s="174"/>
      <c r="AG26" s="174"/>
      <c r="AH26" s="174"/>
      <c r="AI26" s="175"/>
    </row>
    <row r="27" spans="2:35" ht="19.5" customHeight="1">
      <c r="B27" s="19"/>
      <c r="D27" s="189">
        <f>SUM(Variablen!A15:Variablen!J15)</f>
        <v>0</v>
      </c>
      <c r="E27" s="190"/>
      <c r="F27" s="191"/>
      <c r="G27" s="19"/>
      <c r="H27" s="39"/>
      <c r="I27" s="128" t="str">
        <f>IF(B3=1,"   Rahmenprofil mit FP-Anlage 6,5 mm tief",IF(B3=2,"   Frame profile with mounted FP 6,5 mm deep",IF(B3=3,"   Profilé cadre pour PF 6,5 mm épaiss","   Profili con profondità bordo di 6,5 mm")))</f>
        <v>   Rahmenprofil mit FP-Anlage 6,5 mm tief</v>
      </c>
      <c r="J27" s="128"/>
      <c r="K27" s="128"/>
      <c r="L27" s="128"/>
      <c r="M27" s="128"/>
      <c r="N27" s="128"/>
      <c r="O27" s="128"/>
      <c r="P27" s="128"/>
      <c r="Q27" s="128"/>
      <c r="R27" s="192"/>
      <c r="S27" s="267" t="str">
        <f>IF(B3=1,"Erweiterung",IF(B3=2,"Extension",IF(B3=3,"Profié d'extension de profondeur","Profondità profili di estensione")))</f>
        <v>Erweiterung</v>
      </c>
      <c r="T27" s="160"/>
      <c r="U27" s="160"/>
      <c r="V27" s="160"/>
      <c r="W27" s="160"/>
      <c r="X27" s="160"/>
      <c r="Y27" s="160"/>
      <c r="Z27" s="160"/>
      <c r="AA27" s="160"/>
      <c r="AB27" s="160"/>
      <c r="AC27" s="38"/>
      <c r="AD27" s="186" t="str">
        <f>IF(B3=1,"Für FP-Anlage 6,5 mm reduziert sich die Innentiefe um 3,5 mm",IF(B3=2,"For mounted FP 6,5 mm internal depth is reduced by 3,5 mm",IF(B3=3,"Pour les PF de 6.5 mm, la profondeur intérieure est réduite de 3.5 mm","L'utilizzo dei profili con bordo 6,5 mm riduce la prof. libera di 3,5 mm")))</f>
        <v>Für FP-Anlage 6,5 mm reduziert sich die Innentiefe um 3,5 mm</v>
      </c>
      <c r="AE27" s="174"/>
      <c r="AF27" s="174"/>
      <c r="AG27" s="174"/>
      <c r="AH27" s="174"/>
      <c r="AI27" s="175"/>
    </row>
    <row r="28" spans="2:35" ht="19.5" customHeight="1">
      <c r="B28" s="237" t="str">
        <f>IF(B3=1,"oder",IF(B3=2,"or",IF(B3=3,"ou","o")))</f>
        <v>oder</v>
      </c>
      <c r="C28" s="238"/>
      <c r="D28" s="189">
        <f>SUM(Variablen!A17:Variablen!J17)</f>
        <v>0</v>
      </c>
      <c r="E28" s="190"/>
      <c r="F28" s="191"/>
      <c r="H28" s="32"/>
      <c r="I28" s="231">
        <v>52</v>
      </c>
      <c r="J28" s="231"/>
      <c r="K28" s="231">
        <v>80</v>
      </c>
      <c r="L28" s="231"/>
      <c r="M28" s="231"/>
      <c r="N28" s="231"/>
      <c r="O28" s="231"/>
      <c r="P28" s="231"/>
      <c r="Q28" s="231"/>
      <c r="R28" s="231"/>
      <c r="S28" s="266">
        <v>68</v>
      </c>
      <c r="T28" s="231"/>
      <c r="U28" s="231">
        <v>128</v>
      </c>
      <c r="V28" s="231"/>
      <c r="W28" s="231">
        <v>228</v>
      </c>
      <c r="X28" s="231"/>
      <c r="Y28" s="231">
        <v>128</v>
      </c>
      <c r="Z28" s="231"/>
      <c r="AA28" s="231">
        <v>68</v>
      </c>
      <c r="AB28" s="231"/>
      <c r="AC28" s="31"/>
      <c r="AD28" s="187"/>
      <c r="AE28" s="187"/>
      <c r="AF28" s="187"/>
      <c r="AG28" s="187"/>
      <c r="AH28" s="187"/>
      <c r="AI28" s="188"/>
    </row>
    <row r="29" spans="2:35" ht="12.75" customHeight="1">
      <c r="B29" s="217" t="str">
        <f>IF(B3=1,"Profil",IF(B3=2,"Profile",IF(B3=3,"Profilé","Profilo")))</f>
        <v>Profil</v>
      </c>
      <c r="C29" s="41">
        <v>52</v>
      </c>
      <c r="D29" s="41">
        <v>80</v>
      </c>
      <c r="E29" s="42">
        <v>120</v>
      </c>
      <c r="F29" s="41">
        <v>140</v>
      </c>
      <c r="G29" s="41">
        <v>148</v>
      </c>
      <c r="H29" s="42">
        <v>180</v>
      </c>
      <c r="I29" s="41">
        <v>188</v>
      </c>
      <c r="J29" s="41">
        <v>200</v>
      </c>
      <c r="K29" s="41">
        <v>208</v>
      </c>
      <c r="L29" s="41">
        <v>216</v>
      </c>
      <c r="M29" s="41">
        <v>248</v>
      </c>
      <c r="N29" s="41">
        <v>268</v>
      </c>
      <c r="O29" s="41">
        <v>276</v>
      </c>
      <c r="P29" s="41">
        <v>280</v>
      </c>
      <c r="Q29" s="41">
        <v>290</v>
      </c>
      <c r="R29" s="41">
        <v>308</v>
      </c>
      <c r="S29" s="41">
        <v>328</v>
      </c>
      <c r="T29" s="41">
        <v>336</v>
      </c>
      <c r="U29" s="41">
        <v>348</v>
      </c>
      <c r="V29" s="41">
        <v>358</v>
      </c>
      <c r="W29" s="41">
        <v>368</v>
      </c>
      <c r="X29" s="41">
        <v>376</v>
      </c>
      <c r="Y29" s="41">
        <v>396</v>
      </c>
      <c r="Z29" s="41">
        <v>408</v>
      </c>
      <c r="AA29" s="41">
        <v>418</v>
      </c>
      <c r="AB29" s="41">
        <v>426</v>
      </c>
      <c r="AC29" s="41">
        <v>428</v>
      </c>
      <c r="AD29" s="41">
        <v>436</v>
      </c>
      <c r="AE29" s="41">
        <v>456</v>
      </c>
      <c r="AF29" s="41">
        <v>486</v>
      </c>
      <c r="AG29" s="41">
        <v>496</v>
      </c>
      <c r="AH29" s="41">
        <v>518</v>
      </c>
      <c r="AI29" s="41" t="s">
        <v>8</v>
      </c>
    </row>
    <row r="30" spans="2:35" ht="12.75" customHeight="1">
      <c r="B30" s="218"/>
      <c r="C30" s="41">
        <v>38</v>
      </c>
      <c r="D30" s="41">
        <v>66</v>
      </c>
      <c r="E30" s="41">
        <v>106</v>
      </c>
      <c r="F30" s="41">
        <v>126</v>
      </c>
      <c r="G30" s="41">
        <v>134</v>
      </c>
      <c r="H30" s="41">
        <v>166</v>
      </c>
      <c r="I30" s="41">
        <v>174</v>
      </c>
      <c r="J30" s="41">
        <v>186</v>
      </c>
      <c r="K30" s="41">
        <v>194</v>
      </c>
      <c r="L30" s="41">
        <v>202</v>
      </c>
      <c r="M30" s="41">
        <v>234</v>
      </c>
      <c r="N30" s="41">
        <v>254</v>
      </c>
      <c r="O30" s="41">
        <v>262</v>
      </c>
      <c r="P30" s="41">
        <v>266</v>
      </c>
      <c r="Q30" s="41">
        <v>276</v>
      </c>
      <c r="R30" s="41">
        <v>294</v>
      </c>
      <c r="S30" s="41">
        <v>314</v>
      </c>
      <c r="T30" s="41">
        <v>322</v>
      </c>
      <c r="U30" s="41">
        <v>334</v>
      </c>
      <c r="V30" s="41">
        <v>344</v>
      </c>
      <c r="W30" s="41">
        <v>354</v>
      </c>
      <c r="X30" s="41">
        <v>362</v>
      </c>
      <c r="Y30" s="41">
        <v>382</v>
      </c>
      <c r="Z30" s="41">
        <v>394</v>
      </c>
      <c r="AA30" s="41">
        <v>404</v>
      </c>
      <c r="AB30" s="41">
        <v>412</v>
      </c>
      <c r="AC30" s="41">
        <v>414</v>
      </c>
      <c r="AD30" s="41">
        <v>422</v>
      </c>
      <c r="AE30" s="41">
        <v>442</v>
      </c>
      <c r="AF30" s="41">
        <v>472</v>
      </c>
      <c r="AG30" s="41">
        <v>482</v>
      </c>
      <c r="AH30" s="41">
        <v>504</v>
      </c>
      <c r="AI30" s="41" t="s">
        <v>9</v>
      </c>
    </row>
    <row r="31" spans="2:35" ht="12" customHeight="1">
      <c r="B31" s="41">
        <v>52</v>
      </c>
      <c r="C31" s="43" t="s">
        <v>10</v>
      </c>
      <c r="D31" s="44"/>
      <c r="E31" s="43" t="s">
        <v>10</v>
      </c>
      <c r="F31" s="44"/>
      <c r="G31" s="44"/>
      <c r="H31" s="43" t="s">
        <v>10</v>
      </c>
      <c r="I31" s="43" t="s">
        <v>10</v>
      </c>
      <c r="J31" s="44"/>
      <c r="K31" s="44"/>
      <c r="L31" s="44"/>
      <c r="M31" s="43" t="s">
        <v>10</v>
      </c>
      <c r="N31" s="44"/>
      <c r="O31" s="44"/>
      <c r="P31" s="43" t="s">
        <v>10</v>
      </c>
      <c r="Q31" s="44"/>
      <c r="R31" s="43" t="s">
        <v>10</v>
      </c>
      <c r="S31" s="44"/>
      <c r="T31" s="44"/>
      <c r="U31" s="43" t="s">
        <v>10</v>
      </c>
      <c r="V31" s="44"/>
      <c r="W31" s="44"/>
      <c r="X31" s="44"/>
      <c r="Y31" s="44"/>
      <c r="Z31" s="43" t="s">
        <v>10</v>
      </c>
      <c r="AA31" s="44"/>
      <c r="AB31" s="44"/>
      <c r="AC31" s="44"/>
      <c r="AD31" s="44"/>
      <c r="AE31" s="44"/>
      <c r="AF31" s="44"/>
      <c r="AG31" s="44"/>
      <c r="AH31" s="44"/>
      <c r="AI31" s="165" t="str">
        <f>IF(B3=1,"Rahmenprofil",IF(B3=2,"Frame profile",IF(B3=3,"Profilé cadre","Profilo di base")))</f>
        <v>Rahmenprofil</v>
      </c>
    </row>
    <row r="32" spans="2:35" ht="12" customHeight="1">
      <c r="B32" s="41">
        <v>80</v>
      </c>
      <c r="C32" s="44"/>
      <c r="D32" s="43" t="s">
        <v>10</v>
      </c>
      <c r="E32" s="44"/>
      <c r="F32" s="44"/>
      <c r="G32" s="43" t="s">
        <v>10</v>
      </c>
      <c r="H32" s="44"/>
      <c r="I32" s="44"/>
      <c r="J32" s="44"/>
      <c r="K32" s="44" t="s">
        <v>11</v>
      </c>
      <c r="L32" s="43" t="s">
        <v>10</v>
      </c>
      <c r="M32" s="44"/>
      <c r="N32" s="44"/>
      <c r="O32" s="44" t="s">
        <v>11</v>
      </c>
      <c r="P32" s="44"/>
      <c r="Q32" s="44"/>
      <c r="R32" s="44" t="s">
        <v>11</v>
      </c>
      <c r="S32" s="44"/>
      <c r="T32" s="44" t="s">
        <v>12</v>
      </c>
      <c r="U32" s="44"/>
      <c r="V32" s="44"/>
      <c r="W32" s="44"/>
      <c r="X32" s="43" t="s">
        <v>10</v>
      </c>
      <c r="Y32" s="44"/>
      <c r="Z32" s="44"/>
      <c r="AA32" s="44"/>
      <c r="AB32" s="44"/>
      <c r="AC32" s="44"/>
      <c r="AD32" s="44" t="s">
        <v>11</v>
      </c>
      <c r="AE32" s="44"/>
      <c r="AF32" s="44"/>
      <c r="AG32" s="44"/>
      <c r="AH32" s="44"/>
      <c r="AI32" s="166"/>
    </row>
    <row r="33" spans="2:35" ht="12" customHeight="1">
      <c r="B33" s="41">
        <v>140</v>
      </c>
      <c r="C33" s="44"/>
      <c r="D33" s="44"/>
      <c r="E33" s="44"/>
      <c r="F33" s="43" t="s">
        <v>10</v>
      </c>
      <c r="G33" s="44"/>
      <c r="H33" s="44"/>
      <c r="I33" s="44"/>
      <c r="J33" s="44"/>
      <c r="K33" s="43" t="s">
        <v>10</v>
      </c>
      <c r="L33" s="44"/>
      <c r="M33" s="44"/>
      <c r="N33" s="43" t="s">
        <v>10</v>
      </c>
      <c r="O33" s="43" t="s">
        <v>10</v>
      </c>
      <c r="P33" s="44"/>
      <c r="Q33" s="44"/>
      <c r="R33" s="44"/>
      <c r="S33" s="44"/>
      <c r="T33" s="43" t="s">
        <v>10</v>
      </c>
      <c r="U33" s="44"/>
      <c r="V33" s="44"/>
      <c r="W33" s="43" t="s">
        <v>10</v>
      </c>
      <c r="X33" s="44"/>
      <c r="Y33" s="43" t="s">
        <v>10</v>
      </c>
      <c r="Z33" s="44"/>
      <c r="AA33" s="44"/>
      <c r="AB33" s="44"/>
      <c r="AC33" s="43"/>
      <c r="AD33" s="43" t="s">
        <v>10</v>
      </c>
      <c r="AE33" s="44"/>
      <c r="AF33" s="44"/>
      <c r="AG33" s="43" t="s">
        <v>10</v>
      </c>
      <c r="AH33" s="44"/>
      <c r="AI33" s="166"/>
    </row>
    <row r="34" spans="2:35" ht="12" customHeight="1">
      <c r="B34" s="41">
        <v>200</v>
      </c>
      <c r="C34" s="44"/>
      <c r="D34" s="44"/>
      <c r="E34" s="44"/>
      <c r="F34" s="44"/>
      <c r="G34" s="44"/>
      <c r="H34" s="44"/>
      <c r="I34" s="44"/>
      <c r="J34" s="43" t="s">
        <v>10</v>
      </c>
      <c r="K34" s="44"/>
      <c r="L34" s="44"/>
      <c r="M34" s="44"/>
      <c r="N34" s="44" t="s">
        <v>11</v>
      </c>
      <c r="O34" s="44"/>
      <c r="P34" s="44"/>
      <c r="Q34" s="43"/>
      <c r="R34" s="44"/>
      <c r="S34" s="43" t="s">
        <v>10</v>
      </c>
      <c r="T34" s="44" t="s">
        <v>11</v>
      </c>
      <c r="U34" s="44"/>
      <c r="V34" s="44"/>
      <c r="W34" s="44"/>
      <c r="X34" s="44"/>
      <c r="Y34" s="44" t="s">
        <v>11</v>
      </c>
      <c r="Z34" s="44"/>
      <c r="AA34" s="44"/>
      <c r="AB34" s="44"/>
      <c r="AC34" s="43" t="s">
        <v>10</v>
      </c>
      <c r="AD34" s="44"/>
      <c r="AE34" s="43" t="s">
        <v>10</v>
      </c>
      <c r="AF34" s="44"/>
      <c r="AG34" s="44" t="s">
        <v>11</v>
      </c>
      <c r="AH34" s="44"/>
      <c r="AI34" s="166"/>
    </row>
    <row r="35" spans="2:35" ht="12" customHeight="1">
      <c r="B35" s="41">
        <v>290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3" t="s">
        <v>10</v>
      </c>
      <c r="R35" s="44"/>
      <c r="S35" s="44"/>
      <c r="T35" s="44"/>
      <c r="U35" s="44"/>
      <c r="V35" s="43" t="s">
        <v>10</v>
      </c>
      <c r="W35" s="44"/>
      <c r="X35" s="44"/>
      <c r="Y35" s="44"/>
      <c r="Z35" s="44"/>
      <c r="AA35" s="43" t="s">
        <v>10</v>
      </c>
      <c r="AB35" s="43" t="s">
        <v>10</v>
      </c>
      <c r="AC35" s="44"/>
      <c r="AD35" s="44"/>
      <c r="AE35" s="44"/>
      <c r="AF35" s="43" t="s">
        <v>10</v>
      </c>
      <c r="AG35" s="44"/>
      <c r="AH35" s="43" t="s">
        <v>10</v>
      </c>
      <c r="AI35" s="167"/>
    </row>
    <row r="36" spans="2:36" ht="12" customHeight="1">
      <c r="B36" s="41">
        <v>68</v>
      </c>
      <c r="C36" s="44"/>
      <c r="D36" s="44"/>
      <c r="E36" s="43" t="s">
        <v>10</v>
      </c>
      <c r="F36" s="44"/>
      <c r="G36" s="43" t="s">
        <v>10</v>
      </c>
      <c r="H36" s="44"/>
      <c r="I36" s="43" t="s">
        <v>10</v>
      </c>
      <c r="J36" s="44"/>
      <c r="K36" s="43" t="s">
        <v>10</v>
      </c>
      <c r="L36" s="43" t="s">
        <v>10</v>
      </c>
      <c r="M36" s="43" t="s">
        <v>10</v>
      </c>
      <c r="N36" s="44" t="s">
        <v>11</v>
      </c>
      <c r="O36" s="43" t="s">
        <v>13</v>
      </c>
      <c r="P36" s="44"/>
      <c r="Q36" s="44"/>
      <c r="R36" s="44"/>
      <c r="S36" s="44"/>
      <c r="T36" s="43" t="s">
        <v>13</v>
      </c>
      <c r="U36" s="43" t="s">
        <v>10</v>
      </c>
      <c r="V36" s="43" t="s">
        <v>10</v>
      </c>
      <c r="W36" s="44"/>
      <c r="X36" s="43" t="s">
        <v>10</v>
      </c>
      <c r="Y36" s="44" t="s">
        <v>11</v>
      </c>
      <c r="Z36" s="44"/>
      <c r="AA36" s="44"/>
      <c r="AB36" s="43" t="s">
        <v>10</v>
      </c>
      <c r="AC36" s="44"/>
      <c r="AD36" s="43" t="s">
        <v>10</v>
      </c>
      <c r="AE36" s="44"/>
      <c r="AF36" s="43" t="s">
        <v>10</v>
      </c>
      <c r="AG36" s="44" t="s">
        <v>11</v>
      </c>
      <c r="AH36" s="44"/>
      <c r="AI36" s="165" t="str">
        <f>IF(B3=1,"Erweiterung",IF(B3=2,"Extension",IF(B3=3,"Extension","Estensione")))</f>
        <v>Erweiterung</v>
      </c>
      <c r="AJ36" s="256" t="s">
        <v>38</v>
      </c>
    </row>
    <row r="37" spans="2:36" ht="12" customHeight="1">
      <c r="B37" s="41">
        <v>68</v>
      </c>
      <c r="C37" s="44"/>
      <c r="D37" s="44"/>
      <c r="E37" s="44"/>
      <c r="F37" s="44"/>
      <c r="G37" s="44"/>
      <c r="H37" s="44"/>
      <c r="I37" s="43" t="s">
        <v>10</v>
      </c>
      <c r="J37" s="44"/>
      <c r="K37" s="44"/>
      <c r="L37" s="43" t="s">
        <v>10</v>
      </c>
      <c r="M37" s="44"/>
      <c r="N37" s="44"/>
      <c r="O37" s="43" t="s">
        <v>10</v>
      </c>
      <c r="P37" s="44"/>
      <c r="Q37" s="44"/>
      <c r="R37" s="44"/>
      <c r="S37" s="44"/>
      <c r="T37" s="44" t="s">
        <v>11</v>
      </c>
      <c r="U37" s="44"/>
      <c r="V37" s="44"/>
      <c r="W37" s="44"/>
      <c r="X37" s="44"/>
      <c r="Y37" s="44"/>
      <c r="Z37" s="44"/>
      <c r="AA37" s="44"/>
      <c r="AB37" s="43" t="s">
        <v>10</v>
      </c>
      <c r="AC37" s="44"/>
      <c r="AD37" s="44"/>
      <c r="AE37" s="44"/>
      <c r="AF37" s="44"/>
      <c r="AG37" s="44"/>
      <c r="AH37" s="44"/>
      <c r="AI37" s="166"/>
      <c r="AJ37" s="257"/>
    </row>
    <row r="38" spans="2:36" ht="12" customHeight="1">
      <c r="B38" s="41">
        <v>128</v>
      </c>
      <c r="C38" s="44"/>
      <c r="D38" s="44"/>
      <c r="E38" s="44"/>
      <c r="F38" s="44"/>
      <c r="G38" s="44"/>
      <c r="H38" s="43" t="s">
        <v>10</v>
      </c>
      <c r="I38" s="44"/>
      <c r="J38" s="44"/>
      <c r="K38" s="44" t="s">
        <v>11</v>
      </c>
      <c r="L38" s="44"/>
      <c r="M38" s="43" t="s">
        <v>10</v>
      </c>
      <c r="N38" s="43" t="s">
        <v>10</v>
      </c>
      <c r="O38" s="44" t="s">
        <v>11</v>
      </c>
      <c r="P38" s="44"/>
      <c r="Q38" s="44"/>
      <c r="R38" s="43" t="s">
        <v>10</v>
      </c>
      <c r="S38" s="43" t="s">
        <v>10</v>
      </c>
      <c r="T38" s="43" t="s">
        <v>14</v>
      </c>
      <c r="U38" s="44"/>
      <c r="V38" s="44"/>
      <c r="W38" s="44"/>
      <c r="X38" s="44"/>
      <c r="Y38" s="43" t="s">
        <v>13</v>
      </c>
      <c r="Z38" s="43" t="s">
        <v>10</v>
      </c>
      <c r="AA38" s="43" t="s">
        <v>10</v>
      </c>
      <c r="AB38" s="44"/>
      <c r="AC38" s="44"/>
      <c r="AD38" s="44" t="s">
        <v>11</v>
      </c>
      <c r="AE38" s="43" t="s">
        <v>10</v>
      </c>
      <c r="AF38" s="43" t="s">
        <v>10</v>
      </c>
      <c r="AG38" s="43" t="s">
        <v>10</v>
      </c>
      <c r="AH38" s="44"/>
      <c r="AI38" s="166"/>
      <c r="AJ38" s="257"/>
    </row>
    <row r="39" spans="2:36" ht="12" customHeight="1">
      <c r="B39" s="41">
        <v>128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3" t="s">
        <v>10</v>
      </c>
      <c r="S39" s="44"/>
      <c r="T39" s="44" t="s">
        <v>12</v>
      </c>
      <c r="U39" s="44"/>
      <c r="V39" s="44"/>
      <c r="W39" s="44"/>
      <c r="X39" s="44"/>
      <c r="Y39" s="43" t="s">
        <v>10</v>
      </c>
      <c r="Z39" s="44"/>
      <c r="AA39" s="44"/>
      <c r="AB39" s="44"/>
      <c r="AC39" s="44"/>
      <c r="AD39" s="44"/>
      <c r="AE39" s="43" t="s">
        <v>10</v>
      </c>
      <c r="AF39" s="44"/>
      <c r="AG39" s="44"/>
      <c r="AH39" s="44"/>
      <c r="AI39" s="166"/>
      <c r="AJ39" s="257"/>
    </row>
    <row r="40" spans="2:36" ht="12" customHeight="1">
      <c r="B40" s="41">
        <v>228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3" t="s">
        <v>10</v>
      </c>
      <c r="Q40" s="44"/>
      <c r="R40" s="44" t="s">
        <v>11</v>
      </c>
      <c r="S40" s="44"/>
      <c r="T40" s="44"/>
      <c r="U40" s="43" t="s">
        <v>10</v>
      </c>
      <c r="V40" s="44"/>
      <c r="W40" s="43" t="s">
        <v>10</v>
      </c>
      <c r="X40" s="43" t="s">
        <v>10</v>
      </c>
      <c r="Y40" s="44"/>
      <c r="Z40" s="43" t="s">
        <v>10</v>
      </c>
      <c r="AA40" s="44"/>
      <c r="AB40" s="44"/>
      <c r="AC40" s="43" t="s">
        <v>10</v>
      </c>
      <c r="AD40" s="43" t="s">
        <v>13</v>
      </c>
      <c r="AE40" s="44"/>
      <c r="AF40" s="44"/>
      <c r="AG40" s="43" t="s">
        <v>13</v>
      </c>
      <c r="AH40" s="43" t="s">
        <v>10</v>
      </c>
      <c r="AI40" s="167"/>
      <c r="AJ40" s="257"/>
    </row>
    <row r="41" spans="2:36" ht="19.5" customHeight="1">
      <c r="B41" s="16">
        <v>5</v>
      </c>
      <c r="C41" s="136" t="str">
        <f>IF(B3=1,"Türanschlag",IF(B3=2,"Door hinging",IF(B3=3,"Ouverture de porte","Posizione cerniere")))</f>
        <v>Türanschlag</v>
      </c>
      <c r="D41" s="137"/>
      <c r="E41" s="137"/>
      <c r="F41" s="137"/>
      <c r="G41" s="137"/>
      <c r="H41" s="137"/>
      <c r="I41" s="193" t="str">
        <f>IF(B3=1,"Rückwand",IF(B3=2,"Back plate",IF(B3=3,"Panneau arrière","Piastra posteriore")))</f>
        <v>Rückwand</v>
      </c>
      <c r="J41" s="194"/>
      <c r="K41" s="194"/>
      <c r="L41" s="194"/>
      <c r="M41" s="194"/>
      <c r="N41" s="10"/>
      <c r="O41" s="10"/>
      <c r="P41" s="10"/>
      <c r="Q41" s="10"/>
      <c r="R41" s="10"/>
      <c r="S41" s="10"/>
      <c r="T41" s="10"/>
      <c r="U41" s="170" t="str">
        <f>IF(B3=1,"Rückwand",IF(B3=2,"Back plate",IF(B3=3,"Pann. arr.","P.tra post.")))</f>
        <v>Rückwand</v>
      </c>
      <c r="V41" s="170"/>
      <c r="W41" s="170"/>
      <c r="X41" s="170"/>
      <c r="Y41" s="170"/>
      <c r="Z41" s="10"/>
      <c r="AA41" s="10"/>
      <c r="AB41" s="10"/>
      <c r="AC41" s="10"/>
      <c r="AD41" s="10"/>
      <c r="AE41" s="10"/>
      <c r="AF41" s="10"/>
      <c r="AG41" s="10"/>
      <c r="AH41" s="10"/>
      <c r="AI41" s="262" t="str">
        <f>IF(B3=1,"Systemauswahl siehe Rückseite",IF(B3=2,"System selection see next page",IF(B3=3,"Choix de système: voir verso","Per la selezione sistema, vedi retro")))</f>
        <v>Systemauswahl siehe Rückseite</v>
      </c>
      <c r="AJ41" s="257"/>
    </row>
    <row r="42" spans="2:36" ht="19.5" customHeight="1">
      <c r="B42" s="195" t="str">
        <f>IF(B3=1,"(Tragsystem)",IF(B3=2,"(Suspension system)",IF(B3=3,"(Système de suspension)","(Sistema di sospensione)")))</f>
        <v>(Tragsystem)</v>
      </c>
      <c r="C42" s="196"/>
      <c r="D42" s="196"/>
      <c r="E42" s="196"/>
      <c r="F42" s="196"/>
      <c r="G42" s="196"/>
      <c r="H42" s="196"/>
      <c r="I42" s="152"/>
      <c r="J42" s="199" t="str">
        <f>IF(B3=1,"2. Erweiterung",IF(B3=2,"Extension 2",IF(B3=3,"Extension 2","Estensione 2")))</f>
        <v>2. Erweiterung</v>
      </c>
      <c r="K42" s="241"/>
      <c r="L42" s="241"/>
      <c r="M42" s="241"/>
      <c r="N42" s="20"/>
      <c r="O42" s="20"/>
      <c r="P42" s="20"/>
      <c r="Q42" s="20"/>
      <c r="R42" s="20"/>
      <c r="S42" s="245" t="str">
        <f>IF(B3=1,"Erweiterung",IF(B3=2,"Extension",IF(B3=3,"Extension","Estensione")))</f>
        <v>Erweiterung</v>
      </c>
      <c r="T42" s="245"/>
      <c r="U42" s="245"/>
      <c r="V42" s="245"/>
      <c r="W42" s="245"/>
      <c r="X42" s="20"/>
      <c r="Y42" s="20"/>
      <c r="Z42" s="20"/>
      <c r="AA42" s="20"/>
      <c r="AB42" s="20"/>
      <c r="AC42" s="20"/>
      <c r="AD42" s="265" t="str">
        <f>IF(B3=1,"2. Erweiterung",IF(B3=2,"Extension 2",IF(B3=3,"Extension 2","Estensione 2")))</f>
        <v>2. Erweiterung</v>
      </c>
      <c r="AE42" s="265"/>
      <c r="AF42" s="265"/>
      <c r="AG42" s="265"/>
      <c r="AH42" s="20"/>
      <c r="AI42" s="263"/>
      <c r="AJ42" s="257"/>
    </row>
    <row r="43" spans="2:36" ht="19.5" customHeight="1">
      <c r="B43" s="19"/>
      <c r="C43" s="20"/>
      <c r="D43" s="131"/>
      <c r="E43" s="131"/>
      <c r="F43" s="131"/>
      <c r="G43" s="131"/>
      <c r="H43" s="131"/>
      <c r="I43" s="131"/>
      <c r="J43" s="45"/>
      <c r="K43" s="45"/>
      <c r="L43" s="45"/>
      <c r="M43" s="45"/>
      <c r="N43" s="20"/>
      <c r="O43" s="20"/>
      <c r="P43" s="20"/>
      <c r="Q43" s="20"/>
      <c r="R43" s="20"/>
      <c r="S43" s="228" t="str">
        <f>IF(B3=1,"Erweiterung",IF(B3=2,"Extension",IF(B3=3,"Extension","Estensione")))</f>
        <v>Erweiterung</v>
      </c>
      <c r="T43" s="228"/>
      <c r="U43" s="228"/>
      <c r="V43" s="228"/>
      <c r="W43" s="228"/>
      <c r="X43" s="20"/>
      <c r="Y43" s="20"/>
      <c r="Z43" s="20"/>
      <c r="AA43" s="20"/>
      <c r="AB43" s="20"/>
      <c r="AC43" s="20"/>
      <c r="AD43" s="128" t="str">
        <f>IF(B3=1,"1. Erweiterung",IF(B3=2,"Extension 1",IF(B3=3,"Extension 1","Estensione 1")))</f>
        <v>1. Erweiterung</v>
      </c>
      <c r="AE43" s="128"/>
      <c r="AF43" s="128"/>
      <c r="AG43" s="128"/>
      <c r="AH43" s="20"/>
      <c r="AI43" s="263"/>
      <c r="AJ43" s="257"/>
    </row>
    <row r="44" spans="2:36" ht="19.5" customHeight="1">
      <c r="B44" s="19"/>
      <c r="C44" s="20"/>
      <c r="E44" s="20"/>
      <c r="F44" s="20"/>
      <c r="G44" s="20"/>
      <c r="H44" s="20"/>
      <c r="I44" s="197" t="str">
        <f>IF(B3=1,"1. Erweiterung",IF(B3=2,"Extension 1",IF(B3=3,"Extension 1","Estensione 1")))</f>
        <v>1. Erweiterung</v>
      </c>
      <c r="J44" s="198"/>
      <c r="K44" s="198"/>
      <c r="L44" s="198"/>
      <c r="M44" s="198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60" t="str">
        <f>IF(B3=1,"(ab 140)",IF(B3=2,"(from 140)",IF(B3=3,"(à partir du 140)","(a partire da 140)")))</f>
        <v>(ab 140)</v>
      </c>
      <c r="AB44" s="261"/>
      <c r="AC44" s="20"/>
      <c r="AD44" s="20"/>
      <c r="AE44" s="20"/>
      <c r="AF44" s="20"/>
      <c r="AG44" s="20"/>
      <c r="AH44" s="20"/>
      <c r="AI44" s="263"/>
      <c r="AJ44" s="257"/>
    </row>
    <row r="45" spans="2:36" ht="19.5" customHeight="1">
      <c r="B45" s="246" t="str">
        <f>IF(B3=1,"Automotive - Ausführung",IF(B3=2,"Automotive/Specification",IF(B3=3,"Version automotive","Vers. sett. automobilistico")))</f>
        <v>Automotive - Ausführung</v>
      </c>
      <c r="C45" s="247"/>
      <c r="D45" s="247"/>
      <c r="E45" s="247"/>
      <c r="F45" s="247"/>
      <c r="G45" s="247"/>
      <c r="H45" s="199" t="str">
        <f>IF(B3=1,"Profil/Rückwand fest",IF(B3=2,"Profile with back plate fixed",IF(B3=3,"Profilé ou Panneau arrière fixe","Profilo/piastra post. fisso")))</f>
        <v>Profil/Rückwand fest</v>
      </c>
      <c r="I45" s="152"/>
      <c r="J45" s="152"/>
      <c r="K45" s="152"/>
      <c r="L45" s="152"/>
      <c r="M45" s="152"/>
      <c r="N45" s="152"/>
      <c r="O45" s="152"/>
      <c r="P45" s="20"/>
      <c r="Q45" s="20"/>
      <c r="R45" s="46" t="s">
        <v>15</v>
      </c>
      <c r="S45" s="228" t="str">
        <f>IF(B3=1,"Rahmenprofil",IF(B3=2,"Frame profile",IF(B3=3,"Profilé cadre","Profilo di base")))</f>
        <v>Rahmenprofil</v>
      </c>
      <c r="T45" s="228"/>
      <c r="U45" s="228"/>
      <c r="V45" s="228"/>
      <c r="W45" s="228"/>
      <c r="X45" s="46" t="s">
        <v>16</v>
      </c>
      <c r="Y45" s="20"/>
      <c r="Z45" s="20"/>
      <c r="AA45" s="260"/>
      <c r="AB45" s="261"/>
      <c r="AC45" s="20"/>
      <c r="AD45" s="248" t="str">
        <f>IF(B3=1,"Rahmenprofil",IF(B3=2,"Frame profile",IF(B3=3,"Profilé cadre","Profilo di base")))</f>
        <v>Rahmenprofil</v>
      </c>
      <c r="AE45" s="248"/>
      <c r="AF45" s="248"/>
      <c r="AG45" s="248"/>
      <c r="AH45" s="20"/>
      <c r="AI45" s="263"/>
      <c r="AJ45" s="257"/>
    </row>
    <row r="46" spans="2:37" ht="19.5" customHeight="1">
      <c r="B46" s="15"/>
      <c r="C46" s="268"/>
      <c r="D46" s="252"/>
      <c r="E46" s="252"/>
      <c r="F46" s="252"/>
      <c r="G46" s="252"/>
      <c r="H46" s="252"/>
      <c r="I46" s="252"/>
      <c r="J46" s="252"/>
      <c r="K46" s="21"/>
      <c r="L46" s="21"/>
      <c r="M46" s="21"/>
      <c r="N46" s="21"/>
      <c r="O46" s="21"/>
      <c r="P46" s="244" t="str">
        <f>IF(B3=1,"Türanschlag",IF(B3=2,"Door hinging",IF(B3=3,"Ouv. de porte","Pos. cerniera")))</f>
        <v>Türanschlag</v>
      </c>
      <c r="Q46" s="244"/>
      <c r="R46" s="244"/>
      <c r="S46" s="244"/>
      <c r="T46" s="21"/>
      <c r="U46" s="21"/>
      <c r="V46" s="21"/>
      <c r="W46" s="244" t="str">
        <f>IF(B3=1," Türanschlag",IF(B3=2," Door hinging",IF(B3=3," Ouv. de porte"," Pos. cerniera")))</f>
        <v> Türanschlag</v>
      </c>
      <c r="X46" s="244"/>
      <c r="Y46" s="244"/>
      <c r="Z46" s="244"/>
      <c r="AA46" s="21"/>
      <c r="AB46" s="209" t="str">
        <f>IF(B3=1,"Position Tragsystem",IF(B3=2,"Position suspension system",IF(B3=3,"Usinage pour CS","Pos. sistema di sosp.")))</f>
        <v>Position Tragsystem</v>
      </c>
      <c r="AC46" s="243"/>
      <c r="AD46" s="243"/>
      <c r="AE46" s="243"/>
      <c r="AF46" s="243"/>
      <c r="AG46" s="243"/>
      <c r="AH46" s="243"/>
      <c r="AI46" s="264"/>
      <c r="AJ46" s="257"/>
      <c r="AK46" s="72" t="b">
        <v>0</v>
      </c>
    </row>
    <row r="47" spans="2:36" ht="12" customHeight="1">
      <c r="B47" s="242" t="str">
        <f>IF(B3=1,"* A=Außentiefe   I=Innentiefe",IF(B3=2,"* A=External depth   I=Internal depth",IF(B3=3,"* A=Profondeur extérieure   I=Profondeur intérieure","A=Profondità esterna    I=Profondità interna")))</f>
        <v>* A=Außentiefe   I=Innentiefe</v>
      </c>
      <c r="C47" s="242"/>
      <c r="D47" s="242"/>
      <c r="E47" s="242"/>
      <c r="F47" s="242"/>
      <c r="G47" s="242"/>
      <c r="H47" s="242"/>
      <c r="I47" s="242"/>
      <c r="J47" s="138"/>
      <c r="K47" s="138"/>
      <c r="L47" s="138"/>
      <c r="M47" s="242" t="str">
        <f>IF(B3=1,"Innentiefe vergrößert sich bei Montage von außen um 6 mm",IF(B3=2,"Assembly from the outside - internal depth increases about 6 mm",IF(B3=3,"La frofondeur intérieure augmente de 6 mm avec un montage de l'extérieur","Profondità libera aumenta di 6 mm con montaggio esterno della piastra front.")))</f>
        <v>Innentiefe vergrößert sich bei Montage von außen um 6 mm</v>
      </c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138"/>
      <c r="AB47" s="259" t="s">
        <v>17</v>
      </c>
      <c r="AC47" s="138"/>
      <c r="AD47" s="258" t="str">
        <f>IF(B3=1,"= alternative Kombination",IF(B3=2,"= alternative combination",IF(B3=3,"= Combinations possibles","Combinazione alternativa")))</f>
        <v>= alternative Kombination</v>
      </c>
      <c r="AE47" s="121"/>
      <c r="AF47" s="121"/>
      <c r="AG47" s="121"/>
      <c r="AH47" s="121"/>
      <c r="AI47" s="121"/>
      <c r="AJ47" s="257"/>
    </row>
    <row r="48" spans="2:35" ht="19.5" customHeight="1">
      <c r="B48" s="16">
        <v>6</v>
      </c>
      <c r="C48" s="144" t="str">
        <f>IF(B3=1,"Trennsteg",IF(B3=2,"Separating piece",IF(B3=3,"Barre de séperation","Distanziale")))</f>
        <v>Trennsteg</v>
      </c>
      <c r="D48" s="145"/>
      <c r="E48" s="145"/>
      <c r="F48" s="145"/>
      <c r="G48" s="145"/>
      <c r="H48" s="146"/>
      <c r="I48" s="146"/>
      <c r="J48" s="47"/>
      <c r="K48" s="239" t="str">
        <f>IF(B3=1,"unmontiert (Standard)",IF(B3=2,"not mounted (Standard)",IF(B3=3,"non montée (Standard)","non montato (Standard)")))</f>
        <v>unmontiert (Standard)</v>
      </c>
      <c r="L48" s="239"/>
      <c r="M48" s="239"/>
      <c r="N48" s="239"/>
      <c r="O48" s="239"/>
      <c r="P48" s="239"/>
      <c r="Q48" s="239"/>
      <c r="R48" s="240"/>
      <c r="S48" s="168"/>
      <c r="T48" s="10"/>
      <c r="U48" s="10"/>
      <c r="V48" s="138" t="str">
        <f>IF(B3=1,"Bedienplatte eloxiert, natur",IF(B3=2,"Operating plate anodised, natural colour",IF(B3=3,"Bandeau anodisé naturel","Piastra operatore, anodizzato, naturale")))</f>
        <v>Bedienplatte eloxiert, natur</v>
      </c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9"/>
    </row>
    <row r="49" spans="2:35" ht="19.5" customHeight="1">
      <c r="B49" s="19"/>
      <c r="C49" s="20"/>
      <c r="D49" s="20"/>
      <c r="E49" s="156" t="str">
        <f>IF(B3=1,"senkrecht",IF(B3=2,"vertical",IF(B3=3,"verticale","verticale")))</f>
        <v>senkrecht</v>
      </c>
      <c r="F49" s="156"/>
      <c r="G49" s="156"/>
      <c r="H49" s="156"/>
      <c r="I49" s="156"/>
      <c r="J49" s="20"/>
      <c r="K49" s="20"/>
      <c r="L49" s="20"/>
      <c r="M49" s="20"/>
      <c r="N49" s="163" t="str">
        <f>IF(B3=1,"rechts montiert",IF(B3=2,"mounted right",IF(B3=3,"montée à droite","montato a destra")))</f>
        <v>rechts montiert</v>
      </c>
      <c r="O49" s="156"/>
      <c r="P49" s="156"/>
      <c r="Q49" s="156"/>
      <c r="R49" s="164"/>
      <c r="S49" s="169"/>
      <c r="T49" s="20"/>
      <c r="U49" s="20"/>
      <c r="V49" s="140" t="str">
        <f>IF(B3=1,"(unmontiert für innen), s = 3 mm",IF(B3=2,"(not mounted), s = 3 mm",IF(B3=3,"(non montée), s = 3 mm","(non montato), s = 3 mm")))</f>
        <v>(unmontiert für innen), s = 3 mm</v>
      </c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1"/>
    </row>
    <row r="50" spans="2:35" ht="19.5" customHeight="1">
      <c r="B50" s="49"/>
      <c r="C50" s="50"/>
      <c r="D50" s="50"/>
      <c r="E50" s="157" t="str">
        <f>IF(B3=1,"Anzahl:",IF(B3=2,"No.:",IF(B3=3,"Quantité:","Quantità:")))</f>
        <v>Anzahl:</v>
      </c>
      <c r="F50" s="157"/>
      <c r="G50" s="157"/>
      <c r="H50" s="50"/>
      <c r="I50" s="142"/>
      <c r="J50" s="148"/>
      <c r="K50" s="50"/>
      <c r="L50" s="50"/>
      <c r="M50" s="50"/>
      <c r="N50" s="126" t="str">
        <f>IF(B3=1,"links montiert",IF(B3=2,"mounted left",IF(B3=3,"montée à gauche","montato a sinistra")))</f>
        <v>links montiert</v>
      </c>
      <c r="O50" s="161"/>
      <c r="P50" s="161"/>
      <c r="Q50" s="161"/>
      <c r="R50" s="162"/>
      <c r="S50" s="169"/>
      <c r="T50" s="160" t="str">
        <f>IF(B3=1,"Maße:  g x h",IF(B3=2,"Dimension:  g x h",IF(B3=3,"Dimension:  g x h","Dimensioni:  g x h")))</f>
        <v>Maße:  g x h</v>
      </c>
      <c r="U50" s="160"/>
      <c r="V50" s="160"/>
      <c r="W50" s="160"/>
      <c r="X50" s="160"/>
      <c r="Y50" s="160"/>
      <c r="Z50" s="158" t="str">
        <f>IF(B3=1,"1. Bedienplatte",IF(B3=2,"Operating plate 1",IF(B3=3,"Bandeau 1","Piastra 1")))</f>
        <v>1. Bedienplatte</v>
      </c>
      <c r="AA50" s="158"/>
      <c r="AB50" s="158"/>
      <c r="AC50" s="158"/>
      <c r="AD50" s="159"/>
      <c r="AE50" s="142"/>
      <c r="AF50" s="143"/>
      <c r="AG50" s="39" t="s">
        <v>1</v>
      </c>
      <c r="AH50" s="142"/>
      <c r="AI50" s="143"/>
    </row>
    <row r="51" spans="2:35" ht="19.5" customHeight="1">
      <c r="B51" s="19"/>
      <c r="C51" s="20"/>
      <c r="D51" s="20"/>
      <c r="E51" s="156" t="str">
        <f>IF(B3=1,"waagerecht",IF(B3=2,"horizontal",IF(B3=3,"horizontale","orizzontale")))</f>
        <v>waagerecht</v>
      </c>
      <c r="F51" s="156"/>
      <c r="G51" s="156"/>
      <c r="H51" s="156"/>
      <c r="I51" s="156"/>
      <c r="J51" s="20"/>
      <c r="K51" s="20"/>
      <c r="L51" s="20"/>
      <c r="M51" s="20"/>
      <c r="N51" s="163" t="str">
        <f>IF(B3=1,"unten montiert",IF(B3=2,"mounted at bottom",IF(B3=3,"montée en dessous","montato in basso")))</f>
        <v>unten montiert</v>
      </c>
      <c r="O51" s="156"/>
      <c r="P51" s="156"/>
      <c r="Q51" s="156"/>
      <c r="R51" s="164"/>
      <c r="S51" s="169"/>
      <c r="T51" s="20"/>
      <c r="U51" s="20"/>
      <c r="V51" s="20"/>
      <c r="W51" s="20"/>
      <c r="X51" s="20"/>
      <c r="Y51" s="20"/>
      <c r="Z51" s="158" t="str">
        <f>IF(B3=1,"2. Bedienplatte",IF(B3=2,"Operating plate 2",IF(B3=3,"Bandeau 2","Piastra 2")))</f>
        <v>2. Bedienplatte</v>
      </c>
      <c r="AA51" s="158"/>
      <c r="AB51" s="158"/>
      <c r="AC51" s="158"/>
      <c r="AD51" s="159"/>
      <c r="AE51" s="142"/>
      <c r="AF51" s="143"/>
      <c r="AG51" s="39" t="s">
        <v>1</v>
      </c>
      <c r="AH51" s="142"/>
      <c r="AI51" s="143"/>
    </row>
    <row r="52" spans="2:35" ht="19.5" customHeight="1">
      <c r="B52" s="19"/>
      <c r="C52" s="20"/>
      <c r="D52" s="20"/>
      <c r="E52" s="130" t="str">
        <f>IF(B3=1,"Anzahl:",IF(B3=2,"No.:",IF(B3=3,"Quantité:","Quantità:")))</f>
        <v>Anzahl:</v>
      </c>
      <c r="F52" s="130"/>
      <c r="G52" s="130"/>
      <c r="H52" s="20"/>
      <c r="I52" s="142"/>
      <c r="J52" s="148"/>
      <c r="K52" s="20"/>
      <c r="L52" s="20"/>
      <c r="M52" s="20"/>
      <c r="N52" s="128" t="str">
        <f>IF(B3=1,"oben montiert",IF(B3=2,"mounted at top",IF(B3=3,"montée en dessus","montato in alto")))</f>
        <v>oben montiert</v>
      </c>
      <c r="O52" s="129"/>
      <c r="P52" s="129"/>
      <c r="Q52" s="129"/>
      <c r="R52" s="132"/>
      <c r="S52" s="169"/>
      <c r="T52" s="20"/>
      <c r="U52" s="128" t="str">
        <f>IF(B3=1,"( g = Breite,  h = Höhe )",IF(B3=2,"( g = width,  h = height )",IF(B3=2,"( g = largeur,  h = hauteur )","( g = larghezza,  h = altezza )")))</f>
        <v>( g = Breite,  h = Höhe )</v>
      </c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25"/>
    </row>
    <row r="53" spans="2:35" ht="15.75" customHeight="1">
      <c r="B53" s="249" t="str">
        <f>IF(B3=1,"Achtung! Trennsteghöhe für Rahmenprofil mit Fronplatten-Auflage",IF(B3=2,"Attention: Separating piece height for frame profilewith mounted",IF(B3=3,"Attention: hauteur de la barre de séparation pour montage","Attenzione: Altezza del distanziale dipende dalla prodondità del bordo")))</f>
        <v>Achtung! Trennsteghöhe für Rahmenprofil mit Fronplatten-Auflage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106" t="str">
        <f>IF(B3=1,"3 mm = 20 mm / Frontplatten-Auflage 6,5 mm = 25 mm",IF(B3=2,"FP 3 mm = 20 mm / mounted FP 6,5 mm = 25 mm",IF(B3=3,"de PF 3 mm = 20 mm / PF de 6,5 mm = 25 mm","- bordo 3 mm = altezza 20 mm / bordo 6,5 mm = altezza 25 mm")))</f>
        <v>3 mm = 20 mm / Frontplatten-Auflage 6,5 mm = 25 mm</v>
      </c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5"/>
    </row>
    <row r="54" spans="2:35" ht="19.5" customHeight="1">
      <c r="B54" s="16">
        <v>7</v>
      </c>
      <c r="C54" s="136" t="str">
        <f>IF(B3=1,"Frontplatte (3mm)",IF(B3=2,"Front plate (3mm)",IF(B3=3,"Plaque frontale (3mm)","Piastra frontale (3mm)")))</f>
        <v>Frontplatte (3mm)</v>
      </c>
      <c r="D54" s="137"/>
      <c r="E54" s="137"/>
      <c r="F54" s="137"/>
      <c r="G54" s="137"/>
      <c r="H54" s="137"/>
      <c r="I54" s="137"/>
      <c r="J54" s="10"/>
      <c r="K54" s="10"/>
      <c r="L54" s="10"/>
      <c r="M54" s="10"/>
      <c r="N54" s="10"/>
      <c r="O54" s="10"/>
      <c r="P54" s="10"/>
      <c r="Q54" s="10"/>
      <c r="R54" s="10"/>
      <c r="S54" s="136" t="str">
        <f>IF(B3=1,"Rückwand (3mm)",IF(B3=2,"Back plate (3mm)",IF(B3=3,"Panneau arrière (3mm)","Piastra posteriore (3mm)")))</f>
        <v>Rückwand (3mm)</v>
      </c>
      <c r="T54" s="137"/>
      <c r="U54" s="137"/>
      <c r="V54" s="137"/>
      <c r="W54" s="137"/>
      <c r="X54" s="137"/>
      <c r="Y54" s="137"/>
      <c r="Z54" s="36"/>
      <c r="AA54" s="10"/>
      <c r="AB54" s="121" t="str">
        <f>IF(B3=1,"keine",IF(B3=2,"none",IF(B3=3,"sans","senza")))</f>
        <v>keine</v>
      </c>
      <c r="AC54" s="121"/>
      <c r="AD54" s="10"/>
      <c r="AE54" s="10"/>
      <c r="AF54" s="10"/>
      <c r="AG54" s="10"/>
      <c r="AH54" s="10"/>
      <c r="AI54" s="11"/>
    </row>
    <row r="55" spans="1:35" ht="19.5" customHeight="1">
      <c r="A55" s="59"/>
      <c r="B55" s="19"/>
      <c r="C55" s="20"/>
      <c r="D55" s="20"/>
      <c r="E55" s="129" t="str">
        <f>IF(B3=1,"keine",IF(B3=2,"none",IF(B3=3,"sans","senza")))</f>
        <v>keine</v>
      </c>
      <c r="F55" s="129"/>
      <c r="G55" s="129"/>
      <c r="H55" s="20"/>
      <c r="I55" s="129" t="str">
        <f>IF(B3=1,"mit",IF(B3=2,"with",IF(B3=3,"avec","con")))</f>
        <v>mit</v>
      </c>
      <c r="J55" s="129"/>
      <c r="K55" s="20"/>
      <c r="L55" s="60"/>
      <c r="M55" s="128" t="str">
        <f>IF(B3=1,"von innen",IF(B3=2,"from inside",IF(B3=3,"mont. de l'intérieur","mont. dall'interno")))</f>
        <v>von innen</v>
      </c>
      <c r="N55" s="128"/>
      <c r="O55" s="128"/>
      <c r="P55" s="128"/>
      <c r="Q55" s="128"/>
      <c r="R55" s="128"/>
      <c r="S55" s="19"/>
      <c r="T55" s="99" t="str">
        <f>IF(B3=1,"von außen verschraubt",IF(B3=2,"fixed from outside",IF(B3=3,"vissé de l'extérieur","fissata con viti")))</f>
        <v>von außen verschraubt</v>
      </c>
      <c r="U55" s="20"/>
      <c r="V55" s="97"/>
      <c r="W55" s="40"/>
      <c r="X55" s="26"/>
      <c r="Y55" s="101"/>
      <c r="Z55" s="40"/>
      <c r="AA55" s="20"/>
      <c r="AB55" s="99" t="str">
        <f>IF(B3=1,"Standard Scharnier",IF(B3=2,"Standard hinge",IF(B3=3,"Charnière standard","Cerniera standard")))</f>
        <v>Standard Scharnier</v>
      </c>
      <c r="AC55" s="97"/>
      <c r="AD55" s="97"/>
      <c r="AE55" s="97"/>
      <c r="AF55" s="97"/>
      <c r="AG55" s="97"/>
      <c r="AH55" s="97"/>
      <c r="AI55" s="98"/>
    </row>
    <row r="56" spans="2:38" ht="19.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126" t="str">
        <f>IF(B3=1,"von außen",IF(B3=2,"from outside",IF(B3=3,"mont. de l'extérieur","mont. dall'esterno")))</f>
        <v>von außen</v>
      </c>
      <c r="N56" s="126"/>
      <c r="O56" s="126"/>
      <c r="P56" s="126"/>
      <c r="Q56" s="126"/>
      <c r="R56" s="126"/>
      <c r="S56" s="15"/>
      <c r="T56" s="102" t="str">
        <f>IF(B3=1,"Kühlkörper-Rückwand",IF(B3=2,"cooling element back plate",IF(B3=3,"Panneau arrière à aillettes","vers. con alettature")))</f>
        <v>Kühlkörper-Rückwand</v>
      </c>
      <c r="U56" s="103"/>
      <c r="V56" s="102"/>
      <c r="W56" s="102"/>
      <c r="X56" s="102"/>
      <c r="Y56" s="102"/>
      <c r="Z56" s="102"/>
      <c r="AA56" s="104"/>
      <c r="AB56" s="100" t="str">
        <f>IF(B3=1,"Verschraubtes Rückwandgelenk",IF(B3=2,"Screwed rear panel hinge",IF(B3=3,"Charnière vissée sur la plaque arrière","Cerniera rinforzata e avvitat:")))</f>
        <v>Verschraubtes Rückwandgelenk</v>
      </c>
      <c r="AC56" s="96"/>
      <c r="AD56" s="96"/>
      <c r="AE56" s="96"/>
      <c r="AF56" s="96"/>
      <c r="AG56" s="96"/>
      <c r="AH56" s="96"/>
      <c r="AI56" s="64"/>
      <c r="AL56" s="72"/>
    </row>
    <row r="57" spans="2:35" ht="19.5" customHeight="1">
      <c r="B57" s="52"/>
      <c r="C57" s="127" t="str">
        <f>IF(B3=1,"Zubehör Frontplatte",IF(B3=2,"Accessories (Front plate)",IF(B3=3,"Accessoires - Plaque frontale","Accessori - piastra frontale")))</f>
        <v>Zubehör Frontplatte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53"/>
      <c r="O57" s="53"/>
      <c r="P57" s="53"/>
      <c r="Q57" s="53"/>
      <c r="R57" s="53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5"/>
    </row>
    <row r="58" spans="2:35" ht="16.5" customHeight="1">
      <c r="B58" s="19"/>
      <c r="C58" s="40"/>
      <c r="D58" s="40"/>
      <c r="E58" s="128" t="str">
        <f>IF(B3=1,"Für INNEN montierte Platten: Dichtband und Befestigungsmaterial",IF(B3=2,"For plates mounted internal: gasket and fixing material",IF(B3=3,"Pour Plaques frontales montée de l'intérieur: joint d'étanchéité et matériel de fixation","Per il montaggio interno della piastra frontale: guarnizione e kit di fissaggio")))</f>
        <v>Für INNEN montierte Platten: Dichtband und Befestigungsmaterial</v>
      </c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25"/>
    </row>
    <row r="59" spans="2:35" ht="16.5" customHeight="1">
      <c r="B59" s="19"/>
      <c r="C59" s="54"/>
      <c r="D59" s="54"/>
      <c r="E59" s="128" t="str">
        <f>IF(B3=1,"Für AUSSEN montierte Platten: Dichtband / Scheiben / Muttern  M5",IF(B3=2,"For plates mounted external: gaskets / washers / nuts  M5",IF(B3=3,"Pour Plaques frontales montée de l'extérieur: joint d'étanchéité, rondelles, écrous  M5","Per il montaggio esterno della piastra frontale: guarnizione, rondelle e dadi M5")))</f>
        <v>Für AUSSEN montierte Platten: Dichtband / Scheiben / Muttern  M5</v>
      </c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25"/>
    </row>
    <row r="60" spans="2:35" ht="15.75" customHeight="1">
      <c r="B60" s="19"/>
      <c r="C60" s="54"/>
      <c r="D60" s="54"/>
      <c r="E60" s="128" t="str">
        <f>IF(B3=1,"19'' Montageset (9806232000): Schrauben und Käfigmuttern  M6",IF(B3=2,"19''-fixing set (9806232000): Screws and nuts  M6",IF(B3=3,"Kit de montage 19'' (9806232000): vis et écrous prisonniers  M6","Kit di montaggio 19 poll. (9806232000): viti e dadi M6")))</f>
        <v>19'' Montageset (9806232000): Schrauben und Käfigmuttern  M6</v>
      </c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25"/>
    </row>
    <row r="61" spans="2:35" ht="19.5" customHeight="1">
      <c r="B61" s="15"/>
      <c r="C61" s="55"/>
      <c r="D61" s="55"/>
      <c r="E61" s="209" t="str">
        <f>IF(B3=1,"Spannelementeset für SIMATIC Panel PC",IF(B3=2,"Set of clamping pieces for SIMATIC Panel PC",IF(B3=3,"SIMATIC Panle PC: Set de Montage","SIMATIC Panel PC: Set di Montaggio")))</f>
        <v>Spannelementeset für SIMATIC Panel PC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23"/>
    </row>
    <row r="62" spans="2:35" ht="19.5" customHeight="1">
      <c r="B62" s="73">
        <v>8</v>
      </c>
      <c r="C62" s="195" t="str">
        <f>IF(B3=1,"Verschluss",IF(B3=2,"Lock",IF(B3=3,"Verrou","Serratura")))</f>
        <v>Verschluss</v>
      </c>
      <c r="D62" s="129"/>
      <c r="E62" s="129"/>
      <c r="F62" s="131"/>
      <c r="G62" s="130" t="str">
        <f>IF(B3=1,"Vierkant (mm):   ",IF(B3=2,"Square (mm):   ",IF(B3=3,"4 pans (mm):   ","quadrata (mm):   ")))</f>
        <v>Vierkant (mm):   </v>
      </c>
      <c r="H62" s="251"/>
      <c r="I62" s="251"/>
      <c r="J62" s="251"/>
      <c r="K62" s="251"/>
      <c r="L62" s="20"/>
      <c r="M62" s="26">
        <v>6</v>
      </c>
      <c r="N62" s="26"/>
      <c r="O62" s="26"/>
      <c r="P62" s="26">
        <v>7</v>
      </c>
      <c r="Q62" s="26"/>
      <c r="R62" s="26"/>
      <c r="S62" s="26">
        <v>8</v>
      </c>
      <c r="T62" s="40" t="s">
        <v>18</v>
      </c>
      <c r="U62" s="40"/>
      <c r="V62" s="40"/>
      <c r="W62" s="40"/>
      <c r="X62" s="40"/>
      <c r="Y62" s="20"/>
      <c r="Z62" s="129" t="str">
        <f>IF(B3=1,"Knebel ohne Schloss",IF(B3=2,"Toggle without lock",IF(B3=3,"Serrure sans clé","Chiusura senza chiave")))</f>
        <v>Knebel ohne Schloss</v>
      </c>
      <c r="AA62" s="129"/>
      <c r="AB62" s="129"/>
      <c r="AC62" s="129"/>
      <c r="AD62" s="129"/>
      <c r="AE62" s="129"/>
      <c r="AF62" s="129"/>
      <c r="AG62" s="129"/>
      <c r="AH62" s="129"/>
      <c r="AI62" s="132"/>
    </row>
    <row r="63" spans="2:35" ht="19.5" customHeight="1">
      <c r="B63" s="19"/>
      <c r="C63" s="20"/>
      <c r="D63" s="20"/>
      <c r="E63" s="20"/>
      <c r="F63" s="20"/>
      <c r="G63" s="130" t="str">
        <f>IF(B3=1,"Dreikant (mm):   ",IF(B3=2,"Triangular (mm):   ",IF(B3=3,"3 pans (mm):   ","triangolo (mm):   ")))</f>
        <v>Dreikant (mm):   </v>
      </c>
      <c r="H63" s="251"/>
      <c r="I63" s="251"/>
      <c r="J63" s="251"/>
      <c r="K63" s="251"/>
      <c r="L63" s="20"/>
      <c r="M63" s="26">
        <v>7</v>
      </c>
      <c r="N63" s="26"/>
      <c r="O63" s="26"/>
      <c r="P63" s="26">
        <v>8</v>
      </c>
      <c r="Q63" s="26"/>
      <c r="R63" s="26"/>
      <c r="S63" s="26"/>
      <c r="T63" s="20"/>
      <c r="U63" s="20"/>
      <c r="V63" s="20"/>
      <c r="W63" s="20"/>
      <c r="X63" s="20"/>
      <c r="Y63" s="20"/>
      <c r="Z63" s="129" t="str">
        <f>IF(B3=1,"Knebel mit Schloss",IF(B3=2,"Toggle with lock",IF(B3=3,"Serrure à clé","Chiusura a chiave")))</f>
        <v>Knebel mit Schloss</v>
      </c>
      <c r="AA63" s="129"/>
      <c r="AB63" s="129"/>
      <c r="AC63" s="129"/>
      <c r="AD63" s="129"/>
      <c r="AE63" s="129"/>
      <c r="AF63" s="129"/>
      <c r="AG63" s="129"/>
      <c r="AH63" s="129"/>
      <c r="AI63" s="132"/>
    </row>
    <row r="64" spans="2:35" ht="19.5" customHeight="1">
      <c r="B64" s="19"/>
      <c r="C64" s="20"/>
      <c r="D64" s="130" t="str">
        <f>IF(B3=1,"Doppelbart (mm):   ",IF(B3=2,"Double beard (mm):   ",IF(B3=3,"Double panneton (mm):   ","doppio pettine (mm):   ")))</f>
        <v>Doppelbart (mm):   </v>
      </c>
      <c r="E64" s="131"/>
      <c r="F64" s="131"/>
      <c r="G64" s="131"/>
      <c r="H64" s="131"/>
      <c r="I64" s="131"/>
      <c r="J64" s="131"/>
      <c r="K64" s="131"/>
      <c r="L64" s="20"/>
      <c r="M64" s="26">
        <v>3</v>
      </c>
      <c r="N64" s="26"/>
      <c r="O64" s="26"/>
      <c r="P64" s="26">
        <v>5</v>
      </c>
      <c r="Q64" s="26"/>
      <c r="R64" s="26"/>
      <c r="S64" s="26"/>
      <c r="T64" s="20"/>
      <c r="U64" s="20"/>
      <c r="V64" s="20"/>
      <c r="W64" s="20"/>
      <c r="X64" s="20"/>
      <c r="Y64" s="20"/>
      <c r="Z64" s="129" t="str">
        <f>IF(B3=1,"Knebel mit Schloss E1",IF(B3=2,"Toggle with lock E1",IF(B3=3,"Serrure à clé E1","Chiusura a chiave E1")))</f>
        <v>Knebel mit Schloss E1</v>
      </c>
      <c r="AA64" s="129"/>
      <c r="AB64" s="129"/>
      <c r="AC64" s="129"/>
      <c r="AD64" s="129"/>
      <c r="AE64" s="129"/>
      <c r="AF64" s="129"/>
      <c r="AG64" s="129"/>
      <c r="AH64" s="129"/>
      <c r="AI64" s="132"/>
    </row>
    <row r="65" spans="2:35" ht="19.5" customHeight="1">
      <c r="B65" s="15"/>
      <c r="C65" s="21"/>
      <c r="D65" s="21"/>
      <c r="E65" s="35"/>
      <c r="F65" s="109" t="str">
        <f>IF(B3=1,"Daimler Benz:   ",IF(B3=2,"Daimler Chrysler:   ",IF(B3=3,"Daimler Benz:   ","Daimler Benz:   ")))</f>
        <v>Daimler Benz:   </v>
      </c>
      <c r="G65" s="109"/>
      <c r="H65" s="109"/>
      <c r="I65" s="109"/>
      <c r="J65" s="109"/>
      <c r="K65" s="109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23" t="str">
        <f>IF(B3=1,"Sonderverschluss/Kundenwunsch",IF(B3=2,"Special lock/customer specific",IF(B3=3,"Serrure spéciale/spécification client","Chiusura speciale cliente")))</f>
        <v>Sonderverschluss/Kundenwunsch</v>
      </c>
      <c r="AA65" s="123"/>
      <c r="AB65" s="123"/>
      <c r="AC65" s="123"/>
      <c r="AD65" s="123"/>
      <c r="AE65" s="123"/>
      <c r="AF65" s="123"/>
      <c r="AG65" s="123"/>
      <c r="AH65" s="123"/>
      <c r="AI65" s="124"/>
    </row>
    <row r="66" spans="2:35" ht="18.75" customHeight="1">
      <c r="B66" s="16">
        <v>9</v>
      </c>
      <c r="C66" s="136" t="str">
        <f>IF(B3=1,"Bearbeitung für Tragsystem",IF(B3=2,"Machining for suspension system",IF(B3=3,"Usinage pour système de suspension","Lavorazione per sistema di sospensione")))</f>
        <v>Bearbeitung für Tragsystem</v>
      </c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0"/>
      <c r="Q66" s="10"/>
      <c r="R66" s="121" t="str">
        <f>IF(B3=1,"Nein",IF(B3=2,"None",IF(B3=3,"Non","Senza")))</f>
        <v>Nein</v>
      </c>
      <c r="S66" s="121"/>
      <c r="T66" s="121"/>
      <c r="U66" s="121" t="str">
        <f>IF(B3=1,"Seite:",IF(B3=2,"Side:",IF(B3=3,"Face:","Lato:")))</f>
        <v>Seite:</v>
      </c>
      <c r="V66" s="121"/>
      <c r="W66" s="36"/>
      <c r="X66" s="28"/>
      <c r="Y66" s="36" t="s">
        <v>19</v>
      </c>
      <c r="Z66" s="36"/>
      <c r="AA66" s="28"/>
      <c r="AB66" s="36" t="s">
        <v>20</v>
      </c>
      <c r="AC66" s="10"/>
      <c r="AD66" s="10"/>
      <c r="AE66" s="10"/>
      <c r="AF66" s="10"/>
      <c r="AG66" s="10"/>
      <c r="AH66" s="10"/>
      <c r="AI66" s="11"/>
    </row>
    <row r="67" spans="2:35" ht="18.75" customHeight="1">
      <c r="B67" s="19"/>
      <c r="C67" s="117" t="str">
        <f>IF(B3=1,"Kupplungsart",IF(B3=2,"Coupling",IF(B3=3,"Type de raccord","Tipo di giunto")))</f>
        <v>Kupplungsart</v>
      </c>
      <c r="D67" s="117"/>
      <c r="E67" s="117"/>
      <c r="F67" s="117"/>
      <c r="G67" s="117"/>
      <c r="H67" s="117"/>
      <c r="I67" s="117"/>
      <c r="J67" s="117"/>
      <c r="K67" s="117"/>
      <c r="L67" s="20"/>
      <c r="M67" s="20"/>
      <c r="N67" s="20"/>
      <c r="O67" s="20"/>
      <c r="P67" s="117" t="str">
        <f>IF(B3=1,"System",IF(B3=2,"System",IF(B3=3,"Système","Sistema")))</f>
        <v>System</v>
      </c>
      <c r="Q67" s="117"/>
      <c r="R67" s="117"/>
      <c r="S67" s="117"/>
      <c r="T67" s="117"/>
      <c r="U67" s="117"/>
      <c r="V67" s="117"/>
      <c r="W67" s="117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5"/>
    </row>
    <row r="68" spans="2:35" ht="18.75" customHeight="1">
      <c r="B68" s="19"/>
      <c r="C68" s="20"/>
      <c r="D68" s="128" t="str">
        <f>IF(B3=1,"Drehneigungskupplung (ab Profil 128)",IF(B3=2,"Swivel tilt coupling (from profile 128)",IF(B3=3,"Raccord incliné rotatif (à partir profilé 128)","Orientabile, inclinabile (da profilo 128)")))</f>
        <v>Drehneigungskupplung (ab Profil 128)</v>
      </c>
      <c r="E68" s="128"/>
      <c r="F68" s="128"/>
      <c r="G68" s="128"/>
      <c r="H68" s="128"/>
      <c r="I68" s="128"/>
      <c r="J68" s="128"/>
      <c r="K68" s="128"/>
      <c r="L68" s="128"/>
      <c r="M68" s="152"/>
      <c r="N68" s="20"/>
      <c r="O68" s="20"/>
      <c r="P68" s="20"/>
      <c r="Q68" s="128" t="str">
        <f>IF(B3=1,"SL (nur Profil 80)",IF(B3=2,"SL (only profile 80)",IF(B3=3,"SL (uniquement profilé 80)","SL (solo profilo 80)")))</f>
        <v>SL (nur Profil 80)</v>
      </c>
      <c r="R68" s="128"/>
      <c r="S68" s="128"/>
      <c r="T68" s="128"/>
      <c r="U68" s="128"/>
      <c r="V68" s="128"/>
      <c r="W68" s="128"/>
      <c r="X68" s="128"/>
      <c r="Y68" s="128"/>
      <c r="Z68" s="20"/>
      <c r="AA68" s="20"/>
      <c r="AB68" s="20"/>
      <c r="AC68" s="20"/>
      <c r="AD68" s="20"/>
      <c r="AE68" s="20"/>
      <c r="AF68" s="20"/>
      <c r="AG68" s="20"/>
      <c r="AH68" s="20"/>
      <c r="AI68" s="25"/>
    </row>
    <row r="69" spans="2:35" ht="18.75" customHeight="1">
      <c r="B69" s="19"/>
      <c r="C69" s="20"/>
      <c r="D69" s="128" t="str">
        <f>IF(B3=1,"Flansch (System siehe rechts)",IF(B3=2,"Flange (indicate profile size)",IF(B3=3,"Bride","Flangia (indicare il modello - a destra)")))</f>
        <v>Flansch (System siehe rechts)</v>
      </c>
      <c r="E69" s="128"/>
      <c r="F69" s="128"/>
      <c r="G69" s="128"/>
      <c r="H69" s="128"/>
      <c r="I69" s="128"/>
      <c r="J69" s="128"/>
      <c r="K69" s="128"/>
      <c r="L69" s="128"/>
      <c r="M69" s="152"/>
      <c r="N69" s="20"/>
      <c r="O69" s="20"/>
      <c r="P69" s="20"/>
      <c r="Q69" s="128" t="str">
        <f>IF(B3=1,"50 (ab Profil 128)",IF(B3=2,"50 (from profile 128)",IF(B3=3,"50 (à partir du profilé 128)","50 (a partire da profilo 128)")))</f>
        <v>50 (ab Profil 128)</v>
      </c>
      <c r="R69" s="128"/>
      <c r="S69" s="128"/>
      <c r="T69" s="128"/>
      <c r="U69" s="128"/>
      <c r="V69" s="128"/>
      <c r="W69" s="128"/>
      <c r="X69" s="128"/>
      <c r="Y69" s="128"/>
      <c r="Z69" s="20"/>
      <c r="AA69" s="20"/>
      <c r="AB69" s="20"/>
      <c r="AC69" s="20"/>
      <c r="AD69" s="20"/>
      <c r="AE69" s="20"/>
      <c r="AF69" s="20"/>
      <c r="AG69" s="20"/>
      <c r="AH69" s="20"/>
      <c r="AI69" s="25"/>
    </row>
    <row r="70" spans="2:35" ht="18.75" customHeight="1">
      <c r="B70" s="19"/>
      <c r="C70" s="20"/>
      <c r="D70" s="128" t="str">
        <f>IF(B3=1,"Neigungsadapter (ab Profil 200)",IF(B3=2,"Angle adapter (from profile 200)",IF(B3=3,"Adaptateur (à partir profilé 200)","Adattatore inclinato (da profilo 200)")))</f>
        <v>Neigungsadapter (ab Profil 200)</v>
      </c>
      <c r="E70" s="128"/>
      <c r="F70" s="128"/>
      <c r="G70" s="128"/>
      <c r="H70" s="128"/>
      <c r="I70" s="128"/>
      <c r="J70" s="128"/>
      <c r="K70" s="128"/>
      <c r="L70" s="128"/>
      <c r="M70" s="152"/>
      <c r="N70" s="20"/>
      <c r="O70" s="20"/>
      <c r="P70" s="20"/>
      <c r="Q70" s="128" t="str">
        <f>IF(B3=1,"60 (ab Profil 128)",IF(B3=2,"60 (from profile 128)",IF(B3=3,"60 (à partir du profilé 128)","60 (a partire da profilo 128)")))</f>
        <v>60 (ab Profil 128)</v>
      </c>
      <c r="R70" s="128"/>
      <c r="S70" s="128"/>
      <c r="T70" s="128"/>
      <c r="U70" s="128"/>
      <c r="V70" s="128"/>
      <c r="W70" s="128"/>
      <c r="X70" s="128"/>
      <c r="Y70" s="128"/>
      <c r="Z70" s="20"/>
      <c r="AA70" s="20"/>
      <c r="AB70" s="20"/>
      <c r="AC70" s="20"/>
      <c r="AD70" s="20"/>
      <c r="AE70" s="20"/>
      <c r="AF70" s="20"/>
      <c r="AG70" s="20"/>
      <c r="AH70" s="20"/>
      <c r="AI70" s="25"/>
    </row>
    <row r="71" spans="2:35" ht="18.75" customHeight="1">
      <c r="B71" s="19"/>
      <c r="C71" s="20"/>
      <c r="D71" s="81" t="str">
        <f>IF(B3=1,"Pultwalze CC-4000",IF(B3=2,"Desk attachment CC-4000",IF(B3=3,"Couplage CC-4000","Giunto per versione pulpito CC-4000")))</f>
        <v>Pultwalze CC-4000</v>
      </c>
      <c r="E71" s="84"/>
      <c r="F71" s="84"/>
      <c r="G71" s="84"/>
      <c r="H71" s="84"/>
      <c r="I71" s="84"/>
      <c r="J71" s="84"/>
      <c r="K71" s="84"/>
      <c r="L71" s="84"/>
      <c r="M71" s="24"/>
      <c r="N71" s="20"/>
      <c r="O71" s="20"/>
      <c r="P71" s="20"/>
      <c r="Q71" s="128" t="str">
        <f>IF(B3=1,"80 (ab Profil 128)",IF(B3=2,"80 (from profile 128)",IF(B3=3,"80 (à partir du profilé 128)","80 (a partire da profilo 128)")))</f>
        <v>80 (ab Profil 128)</v>
      </c>
      <c r="R71" s="128"/>
      <c r="S71" s="128"/>
      <c r="T71" s="128"/>
      <c r="U71" s="128"/>
      <c r="V71" s="128"/>
      <c r="W71" s="128"/>
      <c r="X71" s="128"/>
      <c r="Y71" s="128"/>
      <c r="Z71" s="20"/>
      <c r="AA71" s="20"/>
      <c r="AB71" s="20"/>
      <c r="AC71" s="20"/>
      <c r="AD71" s="20"/>
      <c r="AE71" s="20"/>
      <c r="AF71" s="20"/>
      <c r="AG71" s="20"/>
      <c r="AH71" s="20"/>
      <c r="AI71" s="25"/>
    </row>
    <row r="72" spans="2:35" ht="18.75" customHeight="1">
      <c r="B72" s="19"/>
      <c r="C72" s="20"/>
      <c r="D72" s="81" t="str">
        <f>IF(B3=1,"Automotive-Adapter",IF(B3=2,"Automotive adaptor",IF(B3=3,"Adaptateur (version automotive)","Adattatore automobilistico")))</f>
        <v>Automotive-Adapter</v>
      </c>
      <c r="E72" s="82"/>
      <c r="F72" s="83"/>
      <c r="G72" s="82"/>
      <c r="H72" s="82"/>
      <c r="I72" s="82"/>
      <c r="J72" s="82"/>
      <c r="K72" s="82"/>
      <c r="L72" s="82"/>
      <c r="N72" s="20"/>
      <c r="O72" s="20"/>
      <c r="P72" s="20"/>
      <c r="Q72" s="128" t="str">
        <f>IF(B3=1,"80/140 (Profile 290/228)",IF(B3=2,"80/140 (profiles 290/228)",IF(B3=3,"80/140 (profilé 290/228)","80/140 (solo profili 290/228)")))</f>
        <v>80/140 (Profile 290/228)</v>
      </c>
      <c r="R72" s="128"/>
      <c r="S72" s="128"/>
      <c r="T72" s="128"/>
      <c r="U72" s="128"/>
      <c r="V72" s="128"/>
      <c r="W72" s="128"/>
      <c r="X72" s="128"/>
      <c r="Y72" s="128"/>
      <c r="AA72" s="106" t="str">
        <f>IF(B3=1,"im Profil:",IF(B3=2,"in profile:",IF(B3=3,"dans le profilé:","nel profilo:")))</f>
        <v>im Profil:</v>
      </c>
      <c r="AB72" s="106"/>
      <c r="AC72" s="106"/>
      <c r="AD72" s="106"/>
      <c r="AE72" s="20"/>
      <c r="AF72" s="20"/>
      <c r="AG72" s="20"/>
      <c r="AH72" s="20"/>
      <c r="AI72" s="25"/>
    </row>
    <row r="73" spans="2:35" ht="18.75" customHeight="1">
      <c r="B73" s="15"/>
      <c r="C73" s="21"/>
      <c r="D73" s="128" t="str">
        <f>IF(B3=1,"Sonderbearbeitung nach Kundenwunsch",IF(B3=2,"Special machining/customer specific",IF(B3=3,"Usinage spécifique selon spécification","Lavorazione su specifica cliente")))</f>
        <v>Sonderbearbeitung nach Kundenwunsch</v>
      </c>
      <c r="E73" s="128"/>
      <c r="F73" s="128"/>
      <c r="G73" s="128"/>
      <c r="H73" s="128"/>
      <c r="I73" s="128"/>
      <c r="J73" s="128"/>
      <c r="K73" s="128"/>
      <c r="L73" s="128"/>
      <c r="M73" s="152"/>
      <c r="N73" s="21"/>
      <c r="O73" s="21"/>
      <c r="P73" s="21"/>
      <c r="Q73" s="21"/>
      <c r="Z73" s="21"/>
      <c r="AA73" s="142"/>
      <c r="AB73" s="147"/>
      <c r="AC73" s="148"/>
      <c r="AD73" s="21"/>
      <c r="AE73" s="21"/>
      <c r="AF73" s="21"/>
      <c r="AG73" s="21"/>
      <c r="AH73" s="21"/>
      <c r="AI73" s="23"/>
    </row>
    <row r="74" spans="2:35" ht="19.5" customHeight="1">
      <c r="B74" s="16">
        <v>10</v>
      </c>
      <c r="C74" s="136" t="str">
        <f>IF(B3=1,"Oberflächenbeschichtung",IF(B3=2,"Paint",IF(B3=3,"Révêtement de surface","Verniciatura")))</f>
        <v>Oberflächenbeschichtung</v>
      </c>
      <c r="D74" s="137"/>
      <c r="E74" s="137"/>
      <c r="F74" s="137"/>
      <c r="G74" s="137"/>
      <c r="H74" s="137"/>
      <c r="I74" s="137"/>
      <c r="J74" s="137"/>
      <c r="K74" s="137"/>
      <c r="L74" s="118" t="s">
        <v>21</v>
      </c>
      <c r="M74" s="118"/>
      <c r="N74" s="118"/>
      <c r="O74" s="118"/>
      <c r="P74" s="118"/>
      <c r="Q74" s="10"/>
      <c r="R74" s="10"/>
      <c r="S74" s="10"/>
      <c r="T74" s="10"/>
      <c r="U74" s="10"/>
      <c r="V74" s="10"/>
      <c r="W74" s="118" t="str">
        <f>IF(B3=1,"Kundenausführung",IF(B3=2,"Customised design",IF(B3=3,"Spécification client","Specificazione cliente")))</f>
        <v>Kundenausführung</v>
      </c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1"/>
    </row>
    <row r="75" spans="2:35" ht="19.5" customHeight="1">
      <c r="B75" s="19"/>
      <c r="C75" s="129" t="str">
        <f>IF(B3=1,"Profile waagerecht:",IF(B3=2,"Profile horizontal:",IF(B3=3,"Profilés horizontaux:","Profili orizzontali:")))</f>
        <v>Profile waagerecht:</v>
      </c>
      <c r="D75" s="129"/>
      <c r="E75" s="129"/>
      <c r="F75" s="129"/>
      <c r="G75" s="129"/>
      <c r="H75" s="129"/>
      <c r="I75" s="129"/>
      <c r="J75" s="129"/>
      <c r="K75" s="20"/>
      <c r="L75" s="20"/>
      <c r="M75" s="129" t="str">
        <f>IF(B3=1,"RAL 7043, lackiert",IF(B3=2,"RAL 7043, painted",IF(B3=3,"RAL 7043, peinture grise","RAL 7043, grigio")))</f>
        <v>RAL 7043, lackiert</v>
      </c>
      <c r="N75" s="129"/>
      <c r="O75" s="129"/>
      <c r="P75" s="129"/>
      <c r="Q75" s="129"/>
      <c r="R75" s="129"/>
      <c r="S75" s="129"/>
      <c r="T75" s="152"/>
      <c r="U75" s="20"/>
      <c r="V75" s="20"/>
      <c r="W75" s="20"/>
      <c r="X75" s="107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08"/>
    </row>
    <row r="76" spans="2:35" ht="19.5" customHeight="1">
      <c r="B76" s="19"/>
      <c r="C76" s="129" t="str">
        <f>IF(B3=1,"Profile senkrecht:",IF(B3=2,"Profile vertical:",IF(B3=3,"Profilés verticaux:","Profili verticali:")))</f>
        <v>Profile senkrecht:</v>
      </c>
      <c r="D76" s="129"/>
      <c r="E76" s="129"/>
      <c r="F76" s="129"/>
      <c r="G76" s="129"/>
      <c r="H76" s="129"/>
      <c r="I76" s="129"/>
      <c r="J76" s="129"/>
      <c r="K76" s="20"/>
      <c r="L76" s="20"/>
      <c r="M76" s="129" t="str">
        <f>IF(B3=1,"eloxiert, natur",IF(B3=2,"anodised, natural colour",IF(B3=3,"anodisé naturel","anodizzato, naturale")))</f>
        <v>eloxiert, natur</v>
      </c>
      <c r="N76" s="129"/>
      <c r="O76" s="129"/>
      <c r="P76" s="129"/>
      <c r="Q76" s="129"/>
      <c r="R76" s="129"/>
      <c r="S76" s="129"/>
      <c r="T76" s="152"/>
      <c r="U76" s="20"/>
      <c r="V76" s="20"/>
      <c r="W76" s="20"/>
      <c r="X76" s="107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08"/>
    </row>
    <row r="77" spans="2:35" ht="19.5" customHeight="1">
      <c r="B77" s="19"/>
      <c r="C77" s="129" t="str">
        <f>IF(B3=1,"Trennsteg:",IF(B3=2,"Separating piece:",IF(B3=3,"barre de séparation:","Distanziali:")))</f>
        <v>Trennsteg:</v>
      </c>
      <c r="D77" s="129"/>
      <c r="E77" s="129"/>
      <c r="F77" s="129"/>
      <c r="G77" s="129"/>
      <c r="H77" s="129"/>
      <c r="I77" s="129"/>
      <c r="J77" s="129"/>
      <c r="K77" s="20"/>
      <c r="L77" s="20"/>
      <c r="M77" s="129" t="str">
        <f>IF(B3=1,"RAL 7043, lackiert",IF(B3=2,"RAL 7043, painted",IF(B3=3,"RAL 7043, peinture grise","RAL 7043, grigio")))</f>
        <v>RAL 7043, lackiert</v>
      </c>
      <c r="N77" s="129"/>
      <c r="O77" s="129"/>
      <c r="P77" s="129"/>
      <c r="Q77" s="129"/>
      <c r="R77" s="129"/>
      <c r="S77" s="129"/>
      <c r="T77" s="152"/>
      <c r="U77" s="20"/>
      <c r="V77" s="20"/>
      <c r="W77" s="20"/>
      <c r="X77" s="107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08"/>
    </row>
    <row r="78" spans="2:35" ht="19.5" customHeight="1">
      <c r="B78" s="19"/>
      <c r="C78" s="129" t="str">
        <f>IF(B3=1,"Frontplatten:",IF(B3=2,"Front plates:",IF(B3=3,"Plaque frontale:","Piastra frontale:")))</f>
        <v>Frontplatten:</v>
      </c>
      <c r="D78" s="129"/>
      <c r="E78" s="129"/>
      <c r="F78" s="129"/>
      <c r="G78" s="129"/>
      <c r="H78" s="129"/>
      <c r="I78" s="129"/>
      <c r="J78" s="129"/>
      <c r="K78" s="20"/>
      <c r="L78" s="20"/>
      <c r="M78" s="129" t="str">
        <f>IF(B3=1,"eloxiert, natur",IF(B3=2,"anodised, natural colour",IF(B3=3,"anodisé naturel","anodizzato, naturale")))</f>
        <v>eloxiert, natur</v>
      </c>
      <c r="N78" s="129"/>
      <c r="O78" s="129"/>
      <c r="P78" s="129"/>
      <c r="Q78" s="129"/>
      <c r="R78" s="129"/>
      <c r="S78" s="129"/>
      <c r="T78" s="129"/>
      <c r="U78" s="20"/>
      <c r="V78" s="20"/>
      <c r="W78" s="20"/>
      <c r="X78" s="107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08"/>
    </row>
    <row r="79" spans="2:36" ht="19.5" customHeight="1">
      <c r="B79" s="15"/>
      <c r="C79" s="123" t="str">
        <f>IF(B3=1,"Rückwände:",IF(B3=2,"Back plates:",IF(B3=3,"Panneau arrière:","Piastra posteriore:")))</f>
        <v>Rückwände:</v>
      </c>
      <c r="D79" s="123"/>
      <c r="E79" s="123"/>
      <c r="F79" s="123"/>
      <c r="G79" s="123"/>
      <c r="H79" s="123"/>
      <c r="I79" s="123"/>
      <c r="J79" s="123"/>
      <c r="K79" s="21"/>
      <c r="L79" s="21"/>
      <c r="M79" s="123" t="str">
        <f>IF(B3=1,"eloxiert, natur",IF(B3=2,"anodised, natural colour",IF(B3=3,"anodisé naturel","anodizzato, naturale")))</f>
        <v>eloxiert, natur</v>
      </c>
      <c r="N79" s="123"/>
      <c r="O79" s="123"/>
      <c r="P79" s="123"/>
      <c r="Q79" s="123"/>
      <c r="R79" s="123"/>
      <c r="S79" s="123"/>
      <c r="T79" s="123"/>
      <c r="U79" s="21"/>
      <c r="V79" s="21"/>
      <c r="W79" s="21"/>
      <c r="X79" s="107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08"/>
      <c r="AJ79" s="256" t="s">
        <v>39</v>
      </c>
    </row>
    <row r="80" spans="2:36" ht="19.5" customHeight="1">
      <c r="B80" s="16">
        <v>11</v>
      </c>
      <c r="C80" s="136" t="str">
        <f>IF(B3=1,"EMV-Version (elektromagnetische Verträglichkeit)",IF(B3=2,"EMV (electro magnetic compatibility) version",IF(B3=3,"Version CEM","Versione schermata")))</f>
        <v>EMV-Version (elektromagnetische Verträglichkeit)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1"/>
      <c r="AJ80" s="257"/>
    </row>
    <row r="81" spans="2:36" ht="15" customHeight="1">
      <c r="B81" s="149">
        <f>IF(Variablen!A23=TRUE,IF(B3=1,"ACHTUNG!",IF(B3=2,"ATTENTION!",IF(B3=3,"ATTENTION!","ATTENZIONE!"))),"")</f>
      </c>
      <c r="C81" s="150"/>
      <c r="D81" s="150"/>
      <c r="E81" s="150"/>
      <c r="F81" s="151"/>
      <c r="I81" s="131" t="str">
        <f>IF(B3=1,"Leitende Verbindung zwischen Gehäusegrundkörper, Gehäusetür,",IF(B3=2,"Conducting connections between enclosure main body, enclosure door,",IF(B3=3,"Liaison conductrice pupitre de base, porte,","Connessione conducente tra custodia, portella,")))</f>
        <v>Leitende Verbindung zwischen Gehäusegrundkörper, Gehäusetür,</v>
      </c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22"/>
      <c r="AJ81" s="257"/>
    </row>
    <row r="82" spans="2:36" ht="10.5" customHeight="1">
      <c r="B82" s="15"/>
      <c r="C82" s="20"/>
      <c r="D82" s="20"/>
      <c r="E82" s="20"/>
      <c r="F82" s="68"/>
      <c r="G82" s="68"/>
      <c r="H82" s="68"/>
      <c r="I82" s="123" t="str">
        <f>IF(B3=1,"Frontplatte und Rückwand",IF(B3=2,"front plate and back plate",IF(B3=3,"plaque frontale et panneau arrière","piastra frontale e piastra posteriore")))</f>
        <v>Frontplatte und Rückwand</v>
      </c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4"/>
      <c r="AJ82" s="257"/>
    </row>
    <row r="83" spans="2:36" ht="19.5" customHeight="1">
      <c r="B83" s="16">
        <v>12</v>
      </c>
      <c r="C83" s="6"/>
      <c r="D83" s="4"/>
      <c r="E83" s="4"/>
      <c r="F83" s="77"/>
      <c r="G83" s="77"/>
      <c r="H83" s="77"/>
      <c r="I83" s="113" t="str">
        <f>IF(B3=1,"Automotive - Ausführung: Doppelte GK-Dichtung, geflochtenes Erdungsband, Schwenkbegrenzung Tür vorne",IF(B3=2,"Automotive - Specificaiton: double GK-gasket , plaited ground strap, rotation limiter front door",IF(B3=3,"Version Automotive: Joint double pour le corps complet, bande tressée de terre, dispositif d'arrêt pour la porte","Versione automobilistico: guarnizione doppio, nastro intrecc. per messa a terra, limitaz.ne rotaz.ne portella anteriore")))</f>
        <v>Automotive - Ausführung: Doppelte GK-Dichtung, geflochtenes Erdungsband, Schwenkbegrenzung Tür vorne</v>
      </c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4"/>
      <c r="AJ83" s="257"/>
    </row>
    <row r="84" spans="2:36" ht="15" customHeight="1">
      <c r="B84" s="16">
        <v>13</v>
      </c>
      <c r="E84" s="79"/>
      <c r="F84" s="79"/>
      <c r="G84" s="79"/>
      <c r="H84" s="79"/>
      <c r="I84" s="87" t="str">
        <f>IF(B3=1,"Klimatisierungsdaten zur Überprüfung der Wärmeabfuhr über Gehäuseoberfläche",IF(B3=2,"Dates of climatisation to checkup heat dissipation about enclosure surface",IF(B3=3,"Données de climatisation afin de mesurer la chaleur rejetée par la surface de boîtier","Dati di climatizzazione per il controllo del raffreddamento via la superficie della custodia")))</f>
        <v>Klimatisierungsdaten zur Überprüfung der Wärmeabfuhr über Gehäuseoberfläche</v>
      </c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79"/>
      <c r="AH84" s="79"/>
      <c r="AI84" s="80"/>
      <c r="AJ84" s="257"/>
    </row>
    <row r="85" spans="2:36" ht="13.5" customHeight="1">
      <c r="B85" s="74"/>
      <c r="I85" s="93"/>
      <c r="J85" s="93"/>
      <c r="K85" s="82" t="s">
        <v>35</v>
      </c>
      <c r="L85" s="82"/>
      <c r="M85" s="88" t="str">
        <f>IF(B3=1,"gesamte installierte Verlustleistung",IF(B3=2,"Total installed termal dissipation loss",IF(B3=3,"Dissipation totale de puissance installée","Potenza intera installata")))</f>
        <v>gesamte installierte Verlustleistung</v>
      </c>
      <c r="N85" s="89"/>
      <c r="O85" s="89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69"/>
      <c r="AH85" s="69"/>
      <c r="AI85" s="78"/>
      <c r="AJ85" s="257"/>
    </row>
    <row r="86" spans="2:36" ht="13.5" customHeight="1">
      <c r="B86" s="74"/>
      <c r="I86" s="93"/>
      <c r="J86" s="93"/>
      <c r="K86" s="82" t="s">
        <v>36</v>
      </c>
      <c r="L86" s="82"/>
      <c r="M86" s="88" t="str">
        <f>IF(B3=1,"Umgebungstemperatur des Aufstellungsortes Gehäuse",IF(B3=2,"Ambient temperature limit of the enclosure installation site",IF(B3=3,"Température ambiante du lieu de l'installation du boîtier","Temperatura d'ambiente")))</f>
        <v>Umgebungstemperatur des Aufstellungsortes Gehäuse</v>
      </c>
      <c r="N86" s="89"/>
      <c r="O86" s="89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69"/>
      <c r="AH86" s="69"/>
      <c r="AI86" s="78"/>
      <c r="AJ86" s="257"/>
    </row>
    <row r="87" spans="2:36" ht="13.5" customHeight="1">
      <c r="B87" s="74"/>
      <c r="I87" s="93"/>
      <c r="J87" s="93"/>
      <c r="K87" s="82" t="s">
        <v>36</v>
      </c>
      <c r="L87" s="82"/>
      <c r="M87" s="88" t="str">
        <f>IF(B3=1,"max. Temperatur Einbau (z. Bsp. Steuerung)",IF(B3=2,"max. allowed working temperature (e.g. control system)",IF(B3=3,"Température d'operation maximale du montage (par ex. Commande)","Temperatura massima interna (p.e. PLC/PC ind.)")))</f>
        <v>max. Temperatur Einbau (z. Bsp. Steuerung)</v>
      </c>
      <c r="N87" s="89"/>
      <c r="O87" s="89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69"/>
      <c r="AH87" s="69"/>
      <c r="AI87" s="78"/>
      <c r="AJ87" s="257"/>
    </row>
    <row r="88" spans="2:36" ht="13.5" customHeight="1">
      <c r="B88" s="70"/>
      <c r="C88" s="75"/>
      <c r="D88" s="75"/>
      <c r="E88" s="75"/>
      <c r="F88" s="75"/>
      <c r="G88" s="75"/>
      <c r="H88" s="75"/>
      <c r="I88" s="94"/>
      <c r="J88" s="94"/>
      <c r="K88" s="86" t="s">
        <v>37</v>
      </c>
      <c r="L88" s="85"/>
      <c r="M88" s="91" t="str">
        <f>IF(B3=1,"Spannungsversorgung für aktive Kühlung",IF(B3=2,"Power requirement for active cooling",IF(B3=3,"Alimentation en courant pour la climatisation active","Alimentazione per raffreddamento attivo")))</f>
        <v>Spannungsversorgung für aktive Kühlung</v>
      </c>
      <c r="N88" s="92"/>
      <c r="O88" s="92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57"/>
      <c r="AJ88" s="257"/>
    </row>
    <row r="89" spans="2:36" ht="19.5" customHeight="1">
      <c r="B89" s="73">
        <v>14</v>
      </c>
      <c r="C89" s="136" t="str">
        <f>IF(B3=1,"Zubehör, Anmerkung",IF(B3=2,"Accessories, Notes",IF(B3=3,"Accessoires, Remarques","Accessori, note")))</f>
        <v>Zubehör, Anmerkung</v>
      </c>
      <c r="D89" s="137"/>
      <c r="E89" s="137"/>
      <c r="F89" s="137"/>
      <c r="G89" s="137"/>
      <c r="H89" s="137"/>
      <c r="I89" s="137"/>
      <c r="J89" s="137"/>
      <c r="K89" s="137"/>
      <c r="L89" s="137"/>
      <c r="M89" s="76"/>
      <c r="N89" s="115" t="str">
        <f>IF(B3=1,"Im Lieferumfang enthalten: Schlüssel und Erdungsset",IF(B3=2,"Included in delivery: key and earth-set",IF(B3=3,"Equipement de série: clés, tresse de terre","Chiave e kit di messa a terra inclusi nella fornitura")))</f>
        <v>Im Lieferumfang enthalten: Schlüssel und Erdungsset</v>
      </c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6"/>
      <c r="AJ89" s="257"/>
    </row>
    <row r="90" spans="2:36" ht="19.5" customHeight="1">
      <c r="B90" s="74"/>
      <c r="C90" s="125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78"/>
      <c r="AJ90" s="257"/>
    </row>
    <row r="91" spans="2:36" ht="19.5" customHeight="1">
      <c r="B91" s="74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78"/>
      <c r="AJ91" s="257"/>
    </row>
    <row r="92" spans="2:36" ht="21.75" customHeight="1">
      <c r="B92" s="56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57"/>
      <c r="AJ92" s="257"/>
    </row>
    <row r="93" spans="2:35" ht="19.5" customHeight="1">
      <c r="B93" s="58"/>
      <c r="C93" s="10"/>
      <c r="D93" s="121" t="str">
        <f>IF(B3=1,"Anlagen",IF(B3=2,"Encl.",IF(B3=3,"Annexe ci-joint","Allegato")))</f>
        <v>Anlagen</v>
      </c>
      <c r="E93" s="121"/>
      <c r="F93" s="121"/>
      <c r="G93" s="121"/>
      <c r="H93" s="112"/>
      <c r="I93" s="3" t="str">
        <f>IF(B3=1,"Vkf.",IF(B3=2,"Sales",IF(B3=3,"Vendeur","Vendita")))</f>
        <v>Vkf.</v>
      </c>
      <c r="J93" s="4"/>
      <c r="K93" s="4"/>
      <c r="L93" s="4"/>
      <c r="M93" s="147"/>
      <c r="N93" s="147"/>
      <c r="O93" s="148"/>
      <c r="P93" s="5" t="str">
        <f>IF(B3=1,"TA",IF(B3=2,"Techn. Dept.",IF(B3=3,"TA","Uff.tec.")))</f>
        <v>TA</v>
      </c>
      <c r="Q93" s="4"/>
      <c r="R93" s="4"/>
      <c r="S93" s="4"/>
      <c r="T93" s="147"/>
      <c r="U93" s="147"/>
      <c r="V93" s="148"/>
      <c r="W93" s="5" t="str">
        <f>IF(B3=1,"AV",IF(B3=2,"Planning dept.",IF(B3=3,"AV","Pianif.")))</f>
        <v>AV</v>
      </c>
      <c r="X93" s="4"/>
      <c r="Y93" s="4"/>
      <c r="Z93" s="4"/>
      <c r="AA93" s="147"/>
      <c r="AB93" s="147"/>
      <c r="AC93" s="148"/>
      <c r="AD93" s="110" t="str">
        <f>IF(B3=1,"Anfrage",IF(B3=2,"Enquiry",IF(B3=3,"Demande","Richiesta")))</f>
        <v>Anfrage</v>
      </c>
      <c r="AE93" s="111"/>
      <c r="AF93" s="111"/>
      <c r="AG93" s="111"/>
      <c r="AH93" s="111"/>
      <c r="AI93" s="153"/>
    </row>
    <row r="94" spans="2:35" ht="19.5" customHeight="1">
      <c r="B94" s="15"/>
      <c r="C94" s="21"/>
      <c r="D94" s="123" t="str">
        <f>IF(B3=1,"keine Anlagen",IF(B3=2,"No encl.",IF(B3=3,"Sans annexe","Senza allegato")))</f>
        <v>keine Anlagen</v>
      </c>
      <c r="E94" s="123"/>
      <c r="F94" s="123"/>
      <c r="G94" s="123"/>
      <c r="H94" s="124"/>
      <c r="I94" s="142"/>
      <c r="J94" s="147"/>
      <c r="K94" s="147"/>
      <c r="L94" s="147"/>
      <c r="M94" s="147"/>
      <c r="N94" s="147"/>
      <c r="O94" s="148"/>
      <c r="P94" s="142"/>
      <c r="Q94" s="147"/>
      <c r="R94" s="147"/>
      <c r="S94" s="147"/>
      <c r="T94" s="147"/>
      <c r="U94" s="147"/>
      <c r="V94" s="148"/>
      <c r="W94" s="142"/>
      <c r="X94" s="147"/>
      <c r="Y94" s="147"/>
      <c r="Z94" s="147"/>
      <c r="AA94" s="147"/>
      <c r="AB94" s="147"/>
      <c r="AC94" s="148"/>
      <c r="AD94" s="110" t="str">
        <f>IF(B3=1,"Auftrag",IF(B3=2,"Order",IF(B3=3,"Commande","Ordine")))</f>
        <v>Auftrag</v>
      </c>
      <c r="AE94" s="111"/>
      <c r="AF94" s="111"/>
      <c r="AG94" s="111"/>
      <c r="AH94" s="111"/>
      <c r="AI94" s="153"/>
    </row>
    <row r="95" s="105" customFormat="1" ht="9">
      <c r="AB95" s="105" t="s">
        <v>40</v>
      </c>
    </row>
    <row r="96" ht="12.75">
      <c r="H96" s="71"/>
    </row>
  </sheetData>
  <sheetProtection/>
  <protectedRanges>
    <protectedRange sqref="I85:J88" name="Bereich1"/>
  </protectedRanges>
  <mergeCells count="214">
    <mergeCell ref="I13:R13"/>
    <mergeCell ref="I12:R12"/>
    <mergeCell ref="S13:T13"/>
    <mergeCell ref="X13:Y13"/>
    <mergeCell ref="S28:T28"/>
    <mergeCell ref="S27:AB27"/>
    <mergeCell ref="AJ79:AJ92"/>
    <mergeCell ref="C46:J46"/>
    <mergeCell ref="D43:I43"/>
    <mergeCell ref="X76:AI76"/>
    <mergeCell ref="C78:J78"/>
    <mergeCell ref="C79:J79"/>
    <mergeCell ref="M79:T79"/>
    <mergeCell ref="X78:AI78"/>
    <mergeCell ref="M78:T78"/>
    <mergeCell ref="AJ36:AJ47"/>
    <mergeCell ref="AD47:AI47"/>
    <mergeCell ref="AB47:AC47"/>
    <mergeCell ref="M47:AA47"/>
    <mergeCell ref="AA44:AB45"/>
    <mergeCell ref="AI41:AI46"/>
    <mergeCell ref="S45:W45"/>
    <mergeCell ref="P46:S46"/>
    <mergeCell ref="AD42:AG42"/>
    <mergeCell ref="Z65:AI65"/>
    <mergeCell ref="Q70:Y70"/>
    <mergeCell ref="C77:J77"/>
    <mergeCell ref="X79:AI79"/>
    <mergeCell ref="C75:J75"/>
    <mergeCell ref="C76:J76"/>
    <mergeCell ref="M75:T75"/>
    <mergeCell ref="M77:T77"/>
    <mergeCell ref="M76:T76"/>
    <mergeCell ref="X77:AI77"/>
    <mergeCell ref="L19:N19"/>
    <mergeCell ref="L21:N21"/>
    <mergeCell ref="P21:R21"/>
    <mergeCell ref="M26:N26"/>
    <mergeCell ref="B22:L22"/>
    <mergeCell ref="M22:R22"/>
    <mergeCell ref="I26:J26"/>
    <mergeCell ref="O26:P26"/>
    <mergeCell ref="Q26:R26"/>
    <mergeCell ref="C23:J23"/>
    <mergeCell ref="B53:R53"/>
    <mergeCell ref="I55:J55"/>
    <mergeCell ref="E61:AH61"/>
    <mergeCell ref="G63:K63"/>
    <mergeCell ref="AB54:AC54"/>
    <mergeCell ref="M55:R55"/>
    <mergeCell ref="C62:F62"/>
    <mergeCell ref="G62:K62"/>
    <mergeCell ref="E58:AH58"/>
    <mergeCell ref="Z63:AI63"/>
    <mergeCell ref="K48:R48"/>
    <mergeCell ref="J42:M42"/>
    <mergeCell ref="B47:L47"/>
    <mergeCell ref="AB46:AH46"/>
    <mergeCell ref="W46:Z46"/>
    <mergeCell ref="S43:W43"/>
    <mergeCell ref="S42:W42"/>
    <mergeCell ref="AD43:AG43"/>
    <mergeCell ref="B45:G45"/>
    <mergeCell ref="AD45:AG45"/>
    <mergeCell ref="AA28:AB28"/>
    <mergeCell ref="Y28:Z28"/>
    <mergeCell ref="U28:V28"/>
    <mergeCell ref="W28:X28"/>
    <mergeCell ref="B28:C28"/>
    <mergeCell ref="D28:F28"/>
    <mergeCell ref="I28:J28"/>
    <mergeCell ref="K28:L28"/>
    <mergeCell ref="U21:AG21"/>
    <mergeCell ref="M28:N28"/>
    <mergeCell ref="Q28:R28"/>
    <mergeCell ref="O28:P28"/>
    <mergeCell ref="S26:T26"/>
    <mergeCell ref="U26:V26"/>
    <mergeCell ref="S25:AB25"/>
    <mergeCell ref="Y26:Z26"/>
    <mergeCell ref="AA26:AB26"/>
    <mergeCell ref="I25:R25"/>
    <mergeCell ref="U19:AG19"/>
    <mergeCell ref="U20:AG20"/>
    <mergeCell ref="U16:AG16"/>
    <mergeCell ref="U17:AG17"/>
    <mergeCell ref="E24:R24"/>
    <mergeCell ref="U23:AH23"/>
    <mergeCell ref="U24:AH24"/>
    <mergeCell ref="C25:H26"/>
    <mergeCell ref="K26:L26"/>
    <mergeCell ref="W26:X26"/>
    <mergeCell ref="B29:B30"/>
    <mergeCell ref="G7:U7"/>
    <mergeCell ref="C21:K21"/>
    <mergeCell ref="P19:R19"/>
    <mergeCell ref="C20:K20"/>
    <mergeCell ref="P17:R17"/>
    <mergeCell ref="P18:R18"/>
    <mergeCell ref="L17:N17"/>
    <mergeCell ref="C14:J14"/>
    <mergeCell ref="C19:K19"/>
    <mergeCell ref="C17:H17"/>
    <mergeCell ref="C18:K18"/>
    <mergeCell ref="M18:O18"/>
    <mergeCell ref="AC11:AI12"/>
    <mergeCell ref="L16:N16"/>
    <mergeCell ref="AD13:AF13"/>
    <mergeCell ref="C16:J16"/>
    <mergeCell ref="C15:L15"/>
    <mergeCell ref="P16:R16"/>
    <mergeCell ref="U14:AG14"/>
    <mergeCell ref="E5:Y5"/>
    <mergeCell ref="E6:M6"/>
    <mergeCell ref="Q6:Y6"/>
    <mergeCell ref="C11:G11"/>
    <mergeCell ref="AE6:AI6"/>
    <mergeCell ref="M9:U9"/>
    <mergeCell ref="I11:L11"/>
    <mergeCell ref="AA10:AE10"/>
    <mergeCell ref="AA9:AE9"/>
    <mergeCell ref="AA8:AE8"/>
    <mergeCell ref="D27:F27"/>
    <mergeCell ref="I52:J52"/>
    <mergeCell ref="E52:G52"/>
    <mergeCell ref="E51:I51"/>
    <mergeCell ref="I27:R27"/>
    <mergeCell ref="C41:H41"/>
    <mergeCell ref="I41:M41"/>
    <mergeCell ref="B42:I42"/>
    <mergeCell ref="I44:M44"/>
    <mergeCell ref="H45:O45"/>
    <mergeCell ref="AI31:AI35"/>
    <mergeCell ref="AD25:AI26"/>
    <mergeCell ref="X4:Y4"/>
    <mergeCell ref="Y7:AI7"/>
    <mergeCell ref="AF10:AI10"/>
    <mergeCell ref="AF8:AI8"/>
    <mergeCell ref="AD4:AI4"/>
    <mergeCell ref="AD5:AI5"/>
    <mergeCell ref="AF9:AI9"/>
    <mergeCell ref="AD27:AI28"/>
    <mergeCell ref="AI36:AI40"/>
    <mergeCell ref="S48:S52"/>
    <mergeCell ref="Z50:AD50"/>
    <mergeCell ref="AE50:AF50"/>
    <mergeCell ref="U41:Y41"/>
    <mergeCell ref="E49:I49"/>
    <mergeCell ref="E50:G50"/>
    <mergeCell ref="Z51:AD51"/>
    <mergeCell ref="T50:Y50"/>
    <mergeCell ref="I50:J50"/>
    <mergeCell ref="N50:R50"/>
    <mergeCell ref="N51:R51"/>
    <mergeCell ref="N49:R49"/>
    <mergeCell ref="N52:R52"/>
    <mergeCell ref="D94:H94"/>
    <mergeCell ref="AD93:AI93"/>
    <mergeCell ref="AD94:AI94"/>
    <mergeCell ref="I94:O94"/>
    <mergeCell ref="P94:V94"/>
    <mergeCell ref="W94:AC94"/>
    <mergeCell ref="AA93:AC93"/>
    <mergeCell ref="U52:AH52"/>
    <mergeCell ref="S53:AI53"/>
    <mergeCell ref="E55:G55"/>
    <mergeCell ref="Z62:AI62"/>
    <mergeCell ref="C89:L89"/>
    <mergeCell ref="C80:W80"/>
    <mergeCell ref="AA72:AD72"/>
    <mergeCell ref="D70:M70"/>
    <mergeCell ref="D73:M73"/>
    <mergeCell ref="Q71:Y71"/>
    <mergeCell ref="X75:AI75"/>
    <mergeCell ref="F65:K65"/>
    <mergeCell ref="C74:K74"/>
    <mergeCell ref="L74:P74"/>
    <mergeCell ref="D69:M69"/>
    <mergeCell ref="W74:AH74"/>
    <mergeCell ref="Q69:Y69"/>
    <mergeCell ref="AA73:AC73"/>
    <mergeCell ref="Q72:Y72"/>
    <mergeCell ref="C67:K67"/>
    <mergeCell ref="D68:M68"/>
    <mergeCell ref="Q68:Y68"/>
    <mergeCell ref="C66:O66"/>
    <mergeCell ref="U66:V66"/>
    <mergeCell ref="R66:T66"/>
    <mergeCell ref="P67:W67"/>
    <mergeCell ref="M93:O93"/>
    <mergeCell ref="B81:F81"/>
    <mergeCell ref="I81:AI81"/>
    <mergeCell ref="I82:AI82"/>
    <mergeCell ref="C90:AH92"/>
    <mergeCell ref="D93:H93"/>
    <mergeCell ref="T93:V93"/>
    <mergeCell ref="I83:AI83"/>
    <mergeCell ref="N89:AI89"/>
    <mergeCell ref="E4:M4"/>
    <mergeCell ref="S4:U4"/>
    <mergeCell ref="C54:I54"/>
    <mergeCell ref="V48:AI48"/>
    <mergeCell ref="V49:AI49"/>
    <mergeCell ref="AH50:AI50"/>
    <mergeCell ref="AH51:AI51"/>
    <mergeCell ref="C48:I48"/>
    <mergeCell ref="S54:Y54"/>
    <mergeCell ref="AE51:AF51"/>
    <mergeCell ref="M56:R56"/>
    <mergeCell ref="C57:M57"/>
    <mergeCell ref="E60:AH60"/>
    <mergeCell ref="D64:K64"/>
    <mergeCell ref="E59:AH59"/>
    <mergeCell ref="Z64:AI64"/>
  </mergeCells>
  <printOptions horizontalCentered="1"/>
  <pageMargins left="0.3937007874015748" right="0" top="0.16" bottom="0" header="0" footer="0"/>
  <pageSetup horizontalDpi="300" verticalDpi="300" orientation="portrait" paperSize="9" scale="94" r:id="rId3"/>
  <rowBreaks count="1" manualBreakCount="1">
    <brk id="4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A23" sqref="A23"/>
    </sheetView>
  </sheetViews>
  <sheetFormatPr defaultColWidth="11.421875" defaultRowHeight="12.75"/>
  <cols>
    <col min="1" max="12" width="8.7109375" style="0" customWidth="1"/>
    <col min="13" max="16384" width="11.57421875" style="0" customWidth="1"/>
  </cols>
  <sheetData>
    <row r="1" spans="1:11" ht="30" customHeight="1">
      <c r="A1" s="271" t="s">
        <v>23</v>
      </c>
      <c r="B1" s="271"/>
      <c r="C1" s="271"/>
      <c r="D1" s="271"/>
      <c r="E1" s="271"/>
      <c r="F1" s="271"/>
      <c r="G1" s="271"/>
      <c r="H1" s="152"/>
      <c r="I1" s="152"/>
      <c r="J1" s="152"/>
      <c r="K1" s="152"/>
    </row>
    <row r="3" ht="12.75">
      <c r="A3" t="s">
        <v>24</v>
      </c>
    </row>
    <row r="4" spans="1:2" ht="12.75">
      <c r="A4" s="61" t="b">
        <v>0</v>
      </c>
      <c r="B4" t="s">
        <v>25</v>
      </c>
    </row>
    <row r="5" spans="1:2" ht="12.75">
      <c r="A5" s="61" t="b">
        <v>0</v>
      </c>
      <c r="B5" t="s">
        <v>26</v>
      </c>
    </row>
    <row r="6" spans="1:2" ht="12.75">
      <c r="A6" s="61" t="b">
        <v>0</v>
      </c>
      <c r="B6" t="s">
        <v>27</v>
      </c>
    </row>
    <row r="8" ht="12.75">
      <c r="A8" t="s">
        <v>28</v>
      </c>
    </row>
    <row r="9" spans="1:2" ht="12.75">
      <c r="A9" s="61" t="b">
        <v>0</v>
      </c>
      <c r="B9" t="s">
        <v>25</v>
      </c>
    </row>
    <row r="10" spans="1:2" ht="12.75">
      <c r="A10" s="61" t="b">
        <v>0</v>
      </c>
      <c r="B10" t="s">
        <v>29</v>
      </c>
    </row>
    <row r="11" spans="1:2" ht="12.75">
      <c r="A11" s="61" t="b">
        <v>0</v>
      </c>
      <c r="B11" t="s">
        <v>30</v>
      </c>
    </row>
    <row r="13" ht="12.75">
      <c r="A13" t="s">
        <v>31</v>
      </c>
    </row>
    <row r="14" spans="1:10" ht="12.75">
      <c r="A14" s="61"/>
      <c r="B14" s="61" t="b">
        <v>0</v>
      </c>
      <c r="C14" s="61" t="b">
        <v>0</v>
      </c>
      <c r="D14" s="61"/>
      <c r="E14" s="61"/>
      <c r="F14" s="61"/>
      <c r="G14" s="61" t="b">
        <v>0</v>
      </c>
      <c r="H14" s="61"/>
      <c r="I14" s="61" t="b">
        <v>0</v>
      </c>
      <c r="J14" s="61" t="b">
        <v>0</v>
      </c>
    </row>
    <row r="15" spans="1:10" ht="12.75">
      <c r="A15">
        <f>IF(A14=TRUE,52,0)</f>
        <v>0</v>
      </c>
      <c r="B15">
        <f>IF(B14=TRUE,140,0)</f>
        <v>0</v>
      </c>
      <c r="C15">
        <f>IF(C14=TRUE,200,0)</f>
        <v>0</v>
      </c>
      <c r="D15">
        <f>IF(D14=TRUE,290,0)</f>
        <v>0</v>
      </c>
      <c r="F15">
        <f>IF(F14=TRUE,68,0)</f>
        <v>0</v>
      </c>
      <c r="G15">
        <f>IF(G14=TRUE,128,0)</f>
        <v>0</v>
      </c>
      <c r="H15">
        <f>IF(H14=TRUE,228,0)</f>
        <v>0</v>
      </c>
      <c r="I15">
        <f>IF(I14=TRUE,128,0)</f>
        <v>0</v>
      </c>
      <c r="J15">
        <f>IF(J14=TRUE,68,0)</f>
        <v>0</v>
      </c>
    </row>
    <row r="16" spans="1:10" ht="12.75">
      <c r="A16" s="61"/>
      <c r="B16" s="61"/>
      <c r="C16" s="61"/>
      <c r="D16" s="61"/>
      <c r="E16" s="61"/>
      <c r="F16" s="61"/>
      <c r="G16" s="61"/>
      <c r="H16" s="61"/>
      <c r="I16" s="61" t="b">
        <v>0</v>
      </c>
      <c r="J16" s="61"/>
    </row>
    <row r="17" spans="1:10" ht="12.75">
      <c r="A17">
        <f>IF(A16=TRUE,52,0)</f>
        <v>0</v>
      </c>
      <c r="B17">
        <f>IF(B16=TRUE,80,0)</f>
        <v>0</v>
      </c>
      <c r="F17">
        <f>IF(F16=TRUE,68,0)</f>
        <v>0</v>
      </c>
      <c r="G17">
        <f>IF(G16=TRUE,128,0)</f>
        <v>0</v>
      </c>
      <c r="H17">
        <f>IF(H16=TRUE,228,0)</f>
        <v>0</v>
      </c>
      <c r="I17">
        <f>IF(I16=TRUE,128,0)</f>
        <v>0</v>
      </c>
      <c r="J17">
        <f>IF(J16=TRUE,68,0)</f>
        <v>0</v>
      </c>
    </row>
    <row r="19" spans="1:5" ht="12.75">
      <c r="A19" t="s">
        <v>32</v>
      </c>
      <c r="E19" t="s">
        <v>33</v>
      </c>
    </row>
    <row r="20" spans="1:5" ht="12.75">
      <c r="A20" s="61" t="b">
        <v>0</v>
      </c>
      <c r="E20" s="61"/>
    </row>
    <row r="22" ht="12.75">
      <c r="A22" t="s">
        <v>34</v>
      </c>
    </row>
    <row r="23" ht="12.75">
      <c r="A23" t="b">
        <v>0</v>
      </c>
    </row>
  </sheetData>
  <mergeCells count="1">
    <mergeCell ref="A1:K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Bernstein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Nolte</cp:lastModifiedBy>
  <cp:lastPrinted>2007-10-11T05:37:56Z</cp:lastPrinted>
  <dcterms:created xsi:type="dcterms:W3CDTF">2001-08-28T10:25:37Z</dcterms:created>
  <dcterms:modified xsi:type="dcterms:W3CDTF">2008-01-11T12:37:47Z</dcterms:modified>
  <cp:category/>
  <cp:version/>
  <cp:contentType/>
  <cp:contentStatus/>
</cp:coreProperties>
</file>